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autoCompressPictures="0"/>
  <mc:AlternateContent xmlns:mc="http://schemas.openxmlformats.org/markup-compatibility/2006">
    <mc:Choice Requires="x15">
      <x15ac:absPath xmlns:x15ac="http://schemas.microsoft.com/office/spreadsheetml/2010/11/ac" url="Z:\surendettement\Neuchburger\"/>
    </mc:Choice>
  </mc:AlternateContent>
  <xr:revisionPtr revIDLastSave="0" documentId="8_{4B863F65-31B1-479A-A2F7-AA589AC9AA57}" xr6:coauthVersionLast="47" xr6:coauthVersionMax="47" xr10:uidLastSave="{00000000-0000-0000-0000-000000000000}"/>
  <bookViews>
    <workbookView xWindow="-103" yWindow="-103" windowWidth="22149" windowHeight="13320" tabRatio="901" firstSheet="1" activeTab="7" xr2:uid="{00000000-000D-0000-FFFF-FFFF00000000}"/>
  </bookViews>
  <sheets>
    <sheet name="TabAVS" sheetId="44" state="hidden" r:id="rId1"/>
    <sheet name="Accueil" sheetId="67" r:id="rId2"/>
    <sheet name="Plan" sheetId="50" r:id="rId3"/>
    <sheet name="Business Model" sheetId="68" state="hidden" r:id="rId4"/>
    <sheet name="Informations" sheetId="19" r:id="rId5"/>
    <sheet name="Résumé" sheetId="51" r:id="rId6"/>
    <sheet name="Portrait de l'entreprise" sheetId="52" r:id="rId7"/>
    <sheet name="Produits_prestations" sheetId="53" r:id="rId8"/>
    <sheet name="Cibles_clients" sheetId="65" r:id="rId9"/>
    <sheet name="Marché_Concurrence" sheetId="54" r:id="rId10"/>
    <sheet name="Bilan initial" sheetId="55" r:id="rId11"/>
    <sheet name="Inventaire_Immobilisations" sheetId="60" r:id="rId12"/>
    <sheet name="Plan_investissements" sheetId="61" r:id="rId13"/>
    <sheet name="Compte d'exploitation" sheetId="56" r:id="rId14"/>
    <sheet name="Frais_détails" sheetId="66" r:id="rId15"/>
    <sheet name="Compte d'exploitation période" sheetId="57" r:id="rId16"/>
    <sheet name="Plan_Liquidités" sheetId="63" r:id="rId17"/>
    <sheet name="Mensuel base 22 revu" sheetId="73" r:id="rId18"/>
    <sheet name="Contrôle budgétaire" sheetId="69" state="hidden" r:id="rId19"/>
    <sheet name="Ratios_Analyse" sheetId="58" state="hidden" r:id="rId20"/>
  </sheets>
  <externalReferences>
    <externalReference r:id="rId21"/>
  </externalReferences>
  <definedNames>
    <definedName name="Annexe1">'Compte d''exploitation'!$A$1</definedName>
    <definedName name="Annexe2">'Compte d''exploitation'!$A$31</definedName>
    <definedName name="Annexe3">Frais_détails!$A$1</definedName>
    <definedName name="Assurances">Frais_détails!$A$26</definedName>
    <definedName name="BilanF">#REF!</definedName>
    <definedName name="BilanI">'Bilan initial'!$A$1</definedName>
    <definedName name="Cibles">Cibles_clients!$A$1</definedName>
    <definedName name="COVER">Accueil!$A$8</definedName>
    <definedName name="Deplacements">Frais_détails!$A$16</definedName>
    <definedName name="Exploitant">Frais_détails!$A$3</definedName>
    <definedName name="Exploitation" localSheetId="17">#REF!</definedName>
    <definedName name="Exploitation">'Compte d''exploitation période'!$A$1</definedName>
    <definedName name="HOME">Plan!$A$1</definedName>
    <definedName name="Immobbilisations">Inventaire_Immobilisations!$A$1</definedName>
    <definedName name="Information">Informations!$A$1</definedName>
    <definedName name="Investissements">Plan_investissements!$K$6</definedName>
    <definedName name="Liquidites">Plan_Liquidités!$A$1</definedName>
    <definedName name="Marche">Marché_Concurrence!$A$1</definedName>
    <definedName name="Marketing">Frais_détails!$A$31</definedName>
    <definedName name="Portrait">'Portrait de l''entreprise'!$A$2</definedName>
    <definedName name="Produits">Produits_prestations!$A$1</definedName>
    <definedName name="Ratios">Ratios_Analyse!$A$1</definedName>
    <definedName name="Resume">Résumé!$A$1</definedName>
    <definedName name="Vehicules">Frais_détails!$A$10</definedName>
    <definedName name="_xlnm.Print_Area" localSheetId="1">Accueil!$A$1:$I$49</definedName>
    <definedName name="_xlnm.Print_Area" localSheetId="10">'Bilan initial'!$A$1:$B$37</definedName>
    <definedName name="_xlnm.Print_Area" localSheetId="3">'Business Model'!$A$1:$T$59</definedName>
    <definedName name="_xlnm.Print_Area" localSheetId="8">Cibles_clients!$A$1:$K$22</definedName>
    <definedName name="_xlnm.Print_Area" localSheetId="13">'Compte d''exploitation'!$A$1:$H$37</definedName>
    <definedName name="_xlnm.Print_Area" localSheetId="15">'Compte d''exploitation période'!$A$1:$H$34</definedName>
    <definedName name="_xlnm.Print_Area" localSheetId="18">'Contrôle budgétaire'!$A$1:$I$42</definedName>
    <definedName name="_xlnm.Print_Area" localSheetId="14">Frais_détails!$A$1:$E$54</definedName>
    <definedName name="_xlnm.Print_Area" localSheetId="4">Informations!$A$1:$B$48</definedName>
    <definedName name="_xlnm.Print_Area" localSheetId="11">Inventaire_Immobilisations!$A$1:$F$31</definedName>
    <definedName name="_xlnm.Print_Area" localSheetId="9">Marché_Concurrence!$A$1:$D$35</definedName>
    <definedName name="_xlnm.Print_Area" localSheetId="17">'Mensuel base 22 revu'!$A$1:$N$30</definedName>
    <definedName name="_xlnm.Print_Area" localSheetId="2">Plan!$A$1:$I$35</definedName>
    <definedName name="_xlnm.Print_Area" localSheetId="12">Plan_investissements!$A$1:$F$31</definedName>
    <definedName name="_xlnm.Print_Area" localSheetId="16">Plan_Liquidités!$A$1:$G$35</definedName>
    <definedName name="_xlnm.Print_Area" localSheetId="6">'Portrait de l''entreprise'!$A$1:$H$24</definedName>
    <definedName name="_xlnm.Print_Area" localSheetId="7">Produits_prestations!$A$1:$E$30</definedName>
    <definedName name="_xlnm.Print_Area" localSheetId="19">Ratios_Analyse!$A$1:$C$34</definedName>
    <definedName name="_xlnm.Print_Area" localSheetId="5">Résumé!$A$1:$B$49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5" i="73" l="1"/>
  <c r="D15" i="73"/>
  <c r="E15" i="73"/>
  <c r="F15" i="73"/>
  <c r="G15" i="73"/>
  <c r="H15" i="73"/>
  <c r="I15" i="73"/>
  <c r="J15" i="73"/>
  <c r="K15" i="73"/>
  <c r="L15" i="73"/>
  <c r="M15" i="73"/>
  <c r="B15" i="73"/>
  <c r="C27" i="73"/>
  <c r="D27" i="73"/>
  <c r="E27" i="73"/>
  <c r="F27" i="73"/>
  <c r="G27" i="73"/>
  <c r="H27" i="73"/>
  <c r="I27" i="73"/>
  <c r="J27" i="73"/>
  <c r="K27" i="73"/>
  <c r="L27" i="73"/>
  <c r="M27" i="73"/>
  <c r="B27" i="73"/>
  <c r="B15" i="56"/>
  <c r="B58" i="73" l="1"/>
  <c r="J4" i="73" s="1"/>
  <c r="H49" i="73"/>
  <c r="H50" i="73" s="1"/>
  <c r="B48" i="73"/>
  <c r="B51" i="73" s="1"/>
  <c r="B36" i="73"/>
  <c r="M28" i="73"/>
  <c r="L28" i="73"/>
  <c r="K28" i="73"/>
  <c r="J28" i="73"/>
  <c r="I28" i="73"/>
  <c r="H28" i="73"/>
  <c r="G28" i="73"/>
  <c r="F28" i="73"/>
  <c r="E28" i="73"/>
  <c r="D28" i="73"/>
  <c r="C28" i="73"/>
  <c r="B28" i="73"/>
  <c r="N28" i="73" s="1"/>
  <c r="N27" i="73"/>
  <c r="M26" i="73"/>
  <c r="L26" i="73"/>
  <c r="K26" i="73"/>
  <c r="J26" i="73"/>
  <c r="I26" i="73"/>
  <c r="H26" i="73"/>
  <c r="G26" i="73"/>
  <c r="F26" i="73"/>
  <c r="E26" i="73"/>
  <c r="D26" i="73"/>
  <c r="C26" i="73"/>
  <c r="B26" i="73"/>
  <c r="N26" i="73" s="1"/>
  <c r="M25" i="73"/>
  <c r="L25" i="73"/>
  <c r="K25" i="73"/>
  <c r="J25" i="73"/>
  <c r="I25" i="73"/>
  <c r="H25" i="73"/>
  <c r="G25" i="73"/>
  <c r="F25" i="73"/>
  <c r="E25" i="73"/>
  <c r="D25" i="73"/>
  <c r="C25" i="73"/>
  <c r="B25" i="73"/>
  <c r="N25" i="73" s="1"/>
  <c r="N24" i="73"/>
  <c r="N23" i="73"/>
  <c r="M22" i="73"/>
  <c r="L22" i="73"/>
  <c r="K22" i="73"/>
  <c r="J22" i="73"/>
  <c r="I22" i="73"/>
  <c r="H22" i="73"/>
  <c r="G22" i="73"/>
  <c r="F22" i="73"/>
  <c r="E22" i="73"/>
  <c r="D22" i="73"/>
  <c r="C22" i="73"/>
  <c r="B22" i="73"/>
  <c r="N22" i="73" s="1"/>
  <c r="N21" i="73"/>
  <c r="M20" i="73"/>
  <c r="L20" i="73"/>
  <c r="K20" i="73"/>
  <c r="J20" i="73"/>
  <c r="I20" i="73"/>
  <c r="H20" i="73"/>
  <c r="G20" i="73"/>
  <c r="F20" i="73"/>
  <c r="E20" i="73"/>
  <c r="D20" i="73"/>
  <c r="C20" i="73"/>
  <c r="B20" i="73"/>
  <c r="N19" i="73"/>
  <c r="N18" i="73"/>
  <c r="N17" i="73"/>
  <c r="M16" i="73"/>
  <c r="L16" i="73"/>
  <c r="K16" i="73"/>
  <c r="J16" i="73"/>
  <c r="I16" i="73"/>
  <c r="H16" i="73"/>
  <c r="G16" i="73"/>
  <c r="F16" i="73"/>
  <c r="E16" i="73"/>
  <c r="D16" i="73"/>
  <c r="C16" i="73"/>
  <c r="B16" i="73"/>
  <c r="N16" i="73" s="1"/>
  <c r="N15" i="73"/>
  <c r="N14" i="73"/>
  <c r="J13" i="73"/>
  <c r="F13" i="73"/>
  <c r="F29" i="73" s="1"/>
  <c r="B13" i="73"/>
  <c r="M12" i="73"/>
  <c r="L12" i="73"/>
  <c r="K12" i="73"/>
  <c r="J12" i="73"/>
  <c r="I12" i="73"/>
  <c r="H12" i="73"/>
  <c r="G12" i="73"/>
  <c r="F12" i="73"/>
  <c r="E12" i="73"/>
  <c r="D12" i="73"/>
  <c r="C12" i="73"/>
  <c r="B12" i="73"/>
  <c r="N12" i="73" s="1"/>
  <c r="M4" i="73"/>
  <c r="G4" i="73"/>
  <c r="F4" i="73"/>
  <c r="E4" i="73"/>
  <c r="E7" i="73" s="1"/>
  <c r="D4" i="73"/>
  <c r="C4" i="73"/>
  <c r="B4" i="73"/>
  <c r="P2" i="73"/>
  <c r="N2" i="73"/>
  <c r="N20" i="73" l="1"/>
  <c r="B29" i="73"/>
  <c r="J29" i="73"/>
  <c r="H4" i="73"/>
  <c r="K4" i="73"/>
  <c r="K5" i="73" s="1"/>
  <c r="I4" i="73"/>
  <c r="L4" i="73"/>
  <c r="L5" i="73" s="1"/>
  <c r="E29" i="73"/>
  <c r="M3" i="73"/>
  <c r="G3" i="73"/>
  <c r="B3" i="73"/>
  <c r="C3" i="73"/>
  <c r="J3" i="73"/>
  <c r="F3" i="73"/>
  <c r="H3" i="73"/>
  <c r="I3" i="73"/>
  <c r="D3" i="73"/>
  <c r="H29" i="73"/>
  <c r="G29" i="73"/>
  <c r="K29" i="73"/>
  <c r="E5" i="73"/>
  <c r="E8" i="73" s="1"/>
  <c r="E9" i="73" s="1"/>
  <c r="K7" i="73"/>
  <c r="K8" i="73" s="1"/>
  <c r="K9" i="73" s="1"/>
  <c r="C13" i="73"/>
  <c r="C29" i="73" s="1"/>
  <c r="G13" i="73"/>
  <c r="K13" i="73"/>
  <c r="Q2" i="73"/>
  <c r="L7" i="73"/>
  <c r="L8" i="73" s="1"/>
  <c r="L9" i="73" s="1"/>
  <c r="D13" i="73"/>
  <c r="D29" i="73" s="1"/>
  <c r="H13" i="73"/>
  <c r="L13" i="73"/>
  <c r="L29" i="73" s="1"/>
  <c r="E13" i="73"/>
  <c r="I13" i="73"/>
  <c r="I29" i="73" s="1"/>
  <c r="M13" i="73"/>
  <c r="M29" i="73" s="1"/>
  <c r="N4" i="73" l="1"/>
  <c r="O4" i="73" s="1"/>
  <c r="L30" i="73"/>
  <c r="N29" i="73"/>
  <c r="K30" i="73"/>
  <c r="F5" i="73"/>
  <c r="F7" i="73"/>
  <c r="D7" i="73"/>
  <c r="D5" i="73"/>
  <c r="J5" i="73"/>
  <c r="J7" i="73"/>
  <c r="M7" i="73"/>
  <c r="M5" i="73"/>
  <c r="E30" i="73"/>
  <c r="N13" i="73"/>
  <c r="I7" i="73"/>
  <c r="I5" i="73"/>
  <c r="C5" i="73"/>
  <c r="C7" i="73"/>
  <c r="G5" i="73"/>
  <c r="G7" i="73"/>
  <c r="G8" i="73" s="1"/>
  <c r="G9" i="73" s="1"/>
  <c r="H7" i="73"/>
  <c r="H5" i="73"/>
  <c r="B5" i="73"/>
  <c r="B7" i="73"/>
  <c r="N3" i="73"/>
  <c r="F8" i="73" l="1"/>
  <c r="F9" i="73" s="1"/>
  <c r="N7" i="73"/>
  <c r="B8" i="73"/>
  <c r="I8" i="73"/>
  <c r="M8" i="73"/>
  <c r="D8" i="73"/>
  <c r="F30" i="73"/>
  <c r="O3" i="73"/>
  <c r="N5" i="73"/>
  <c r="H8" i="73"/>
  <c r="C8" i="73"/>
  <c r="J8" i="73"/>
  <c r="G30" i="73"/>
  <c r="I9" i="73" l="1"/>
  <c r="I30" i="73"/>
  <c r="J9" i="73"/>
  <c r="J30" i="73"/>
  <c r="M9" i="73"/>
  <c r="M30" i="73"/>
  <c r="H9" i="73"/>
  <c r="H30" i="73"/>
  <c r="B9" i="73"/>
  <c r="B30" i="73"/>
  <c r="O5" i="73"/>
  <c r="P4" i="73"/>
  <c r="Q4" i="73" s="1"/>
  <c r="C9" i="73"/>
  <c r="C30" i="73"/>
  <c r="D9" i="73"/>
  <c r="D30" i="73"/>
  <c r="N8" i="73"/>
  <c r="N9" i="73" s="1"/>
  <c r="N30" i="73" l="1"/>
  <c r="B14" i="66" l="1"/>
  <c r="A21" i="44"/>
  <c r="A20" i="44"/>
  <c r="A19" i="44"/>
  <c r="A18" i="44"/>
  <c r="A17" i="44"/>
  <c r="A16" i="44"/>
  <c r="A15" i="44"/>
  <c r="A14" i="44"/>
  <c r="A13" i="44"/>
  <c r="A12" i="44"/>
  <c r="A11" i="44"/>
  <c r="A10" i="44"/>
  <c r="A9" i="44"/>
  <c r="A8" i="44"/>
  <c r="A7" i="44"/>
  <c r="A6" i="44"/>
  <c r="A5" i="44"/>
  <c r="A4" i="44"/>
  <c r="E10" i="69" l="1"/>
  <c r="G40" i="69" l="1"/>
  <c r="E42" i="69" l="1"/>
  <c r="E24" i="53"/>
  <c r="J13" i="65"/>
  <c r="D24" i="53"/>
  <c r="H13" i="65" s="1"/>
  <c r="C24" i="53"/>
  <c r="F13" i="65" s="1"/>
  <c r="B24" i="53"/>
  <c r="D13" i="65" s="1"/>
  <c r="A24" i="53"/>
  <c r="B13" i="65" s="1"/>
  <c r="I1" i="68"/>
  <c r="Q1" i="68"/>
  <c r="B62" i="44"/>
  <c r="B63" i="44" s="1"/>
  <c r="B49" i="44"/>
  <c r="B68" i="44" s="1"/>
  <c r="B24" i="44"/>
  <c r="B25" i="44" s="1"/>
  <c r="B26" i="44" s="1"/>
  <c r="B27" i="44" s="1"/>
  <c r="C22" i="44"/>
  <c r="B43" i="44"/>
  <c r="B44" i="44" s="1"/>
  <c r="B45" i="44" s="1"/>
  <c r="B46" i="44" s="1"/>
  <c r="H5" i="52"/>
  <c r="G8" i="52"/>
  <c r="H8" i="52"/>
  <c r="G9" i="52"/>
  <c r="H9" i="52"/>
  <c r="G10" i="52"/>
  <c r="H10" i="52"/>
  <c r="G11" i="52"/>
  <c r="H11" i="52"/>
  <c r="G12" i="52"/>
  <c r="H12" i="52"/>
  <c r="B50" i="44"/>
  <c r="B69" i="44" s="1"/>
  <c r="B52" i="44"/>
  <c r="G6" i="52"/>
  <c r="H6" i="52"/>
  <c r="B71" i="44"/>
  <c r="H7" i="52"/>
  <c r="J5" i="52"/>
  <c r="J7" i="52"/>
  <c r="J8" i="52"/>
  <c r="J6" i="52"/>
  <c r="J9" i="52"/>
  <c r="J10" i="52"/>
  <c r="J11" i="52"/>
  <c r="J12" i="52"/>
  <c r="I5" i="52"/>
  <c r="I7" i="52"/>
  <c r="I8" i="52"/>
  <c r="I6" i="52"/>
  <c r="I9" i="52"/>
  <c r="I10" i="52"/>
  <c r="I11" i="52"/>
  <c r="I12" i="52"/>
  <c r="K8" i="52"/>
  <c r="K9" i="52"/>
  <c r="K10" i="52"/>
  <c r="K11" i="52"/>
  <c r="K12" i="52"/>
  <c r="K6" i="52"/>
  <c r="B27" i="19"/>
  <c r="B48" i="19"/>
  <c r="D15" i="56"/>
  <c r="D16" i="56"/>
  <c r="D20" i="56"/>
  <c r="D21" i="56"/>
  <c r="D22" i="56"/>
  <c r="D23" i="56"/>
  <c r="D25" i="56"/>
  <c r="F46" i="67"/>
  <c r="B34" i="55"/>
  <c r="B30" i="55"/>
  <c r="B25" i="55"/>
  <c r="B12" i="58" s="1"/>
  <c r="B8" i="55"/>
  <c r="A1" i="55"/>
  <c r="A19" i="65"/>
  <c r="A18" i="65"/>
  <c r="A17" i="65"/>
  <c r="A16" i="65"/>
  <c r="A15" i="65"/>
  <c r="G37" i="56"/>
  <c r="E36" i="56"/>
  <c r="D36" i="56"/>
  <c r="A36" i="56"/>
  <c r="E35" i="56"/>
  <c r="D35" i="56"/>
  <c r="A35" i="56"/>
  <c r="E34" i="56"/>
  <c r="F34" i="56" s="1"/>
  <c r="H34" i="56" s="1"/>
  <c r="D34" i="56"/>
  <c r="A34" i="56"/>
  <c r="H8" i="56"/>
  <c r="H8" i="57" s="1"/>
  <c r="G8" i="56"/>
  <c r="G8" i="57" s="1"/>
  <c r="F8" i="56"/>
  <c r="F8" i="57" s="1"/>
  <c r="E8" i="56"/>
  <c r="E8" i="57" s="1"/>
  <c r="D8" i="56"/>
  <c r="D8" i="57" s="1"/>
  <c r="H5" i="56"/>
  <c r="H5" i="57" s="1"/>
  <c r="G5" i="56"/>
  <c r="F5" i="56"/>
  <c r="E5" i="56"/>
  <c r="D5" i="56"/>
  <c r="H3" i="56"/>
  <c r="H3" i="57" s="1"/>
  <c r="H31" i="57" s="1"/>
  <c r="G3" i="56"/>
  <c r="A30" i="63" s="1"/>
  <c r="F3" i="56"/>
  <c r="F3" i="57" s="1"/>
  <c r="F31" i="57" s="1"/>
  <c r="E3" i="56"/>
  <c r="E3" i="57" s="1"/>
  <c r="E31" i="57" s="1"/>
  <c r="D3" i="56"/>
  <c r="D3" i="57" s="1"/>
  <c r="D31" i="57" s="1"/>
  <c r="A1" i="57"/>
  <c r="B31" i="66"/>
  <c r="B24" i="56" s="1"/>
  <c r="B26" i="66"/>
  <c r="B19" i="56" s="1"/>
  <c r="B24" i="66"/>
  <c r="B16" i="66" s="1"/>
  <c r="B18" i="56" s="1"/>
  <c r="B10" i="66"/>
  <c r="B17" i="56" s="1"/>
  <c r="B32" i="19"/>
  <c r="B31" i="60"/>
  <c r="D30" i="60"/>
  <c r="E30" i="60" s="1"/>
  <c r="F29" i="60"/>
  <c r="E29" i="60"/>
  <c r="D29" i="60"/>
  <c r="D28" i="60"/>
  <c r="E28" i="60"/>
  <c r="D27" i="60"/>
  <c r="E27" i="60"/>
  <c r="B25" i="60"/>
  <c r="B15" i="55" s="1"/>
  <c r="F24" i="60"/>
  <c r="E24" i="60"/>
  <c r="D24" i="60"/>
  <c r="F23" i="60"/>
  <c r="E23" i="60"/>
  <c r="D23" i="60"/>
  <c r="D22" i="60"/>
  <c r="E22" i="60"/>
  <c r="F22" i="60"/>
  <c r="D21" i="60"/>
  <c r="E21" i="60"/>
  <c r="F21" i="60"/>
  <c r="B19" i="60"/>
  <c r="F18" i="60"/>
  <c r="E18" i="60"/>
  <c r="D18" i="60"/>
  <c r="F17" i="60"/>
  <c r="E17" i="60"/>
  <c r="D17" i="60"/>
  <c r="D16" i="60"/>
  <c r="E16" i="60" s="1"/>
  <c r="F16" i="60" s="1"/>
  <c r="D15" i="60"/>
  <c r="E15" i="60" s="1"/>
  <c r="B13" i="60"/>
  <c r="B13" i="55" s="1"/>
  <c r="D12" i="60"/>
  <c r="E12" i="60"/>
  <c r="D11" i="60"/>
  <c r="E11" i="60"/>
  <c r="D10" i="60"/>
  <c r="E10" i="60" s="1"/>
  <c r="D9" i="60"/>
  <c r="E9" i="60" s="1"/>
  <c r="B7" i="60"/>
  <c r="B12" i="55" s="1"/>
  <c r="F6" i="60"/>
  <c r="E6" i="60"/>
  <c r="D6" i="60"/>
  <c r="F5" i="60"/>
  <c r="E5" i="60"/>
  <c r="D5" i="60"/>
  <c r="D4" i="60"/>
  <c r="E4" i="60"/>
  <c r="D3" i="60"/>
  <c r="E3" i="60" s="1"/>
  <c r="B31" i="61"/>
  <c r="D30" i="61"/>
  <c r="E30" i="61" s="1"/>
  <c r="F30" i="61" s="1"/>
  <c r="F29" i="61"/>
  <c r="E29" i="61"/>
  <c r="D29" i="61"/>
  <c r="F28" i="61"/>
  <c r="E28" i="61"/>
  <c r="D28" i="61"/>
  <c r="D27" i="61"/>
  <c r="E27" i="61"/>
  <c r="B25" i="61"/>
  <c r="F24" i="61"/>
  <c r="E24" i="61"/>
  <c r="D24" i="61"/>
  <c r="F23" i="61"/>
  <c r="E23" i="61"/>
  <c r="D23" i="61"/>
  <c r="F22" i="61"/>
  <c r="E22" i="61"/>
  <c r="D22" i="61"/>
  <c r="F21" i="61"/>
  <c r="E21" i="61"/>
  <c r="D21" i="61"/>
  <c r="B19" i="61"/>
  <c r="F18" i="61"/>
  <c r="E18" i="61"/>
  <c r="D18" i="61"/>
  <c r="F17" i="61"/>
  <c r="E17" i="61"/>
  <c r="D17" i="61"/>
  <c r="D16" i="61"/>
  <c r="E16" i="61" s="1"/>
  <c r="F16" i="61" s="1"/>
  <c r="D15" i="61"/>
  <c r="E15" i="61" s="1"/>
  <c r="F15" i="61" s="1"/>
  <c r="B13" i="61"/>
  <c r="F12" i="61"/>
  <c r="E12" i="61"/>
  <c r="D12" i="61"/>
  <c r="D11" i="61"/>
  <c r="E11" i="61"/>
  <c r="F11" i="61"/>
  <c r="D10" i="61"/>
  <c r="E10" i="61"/>
  <c r="D9" i="61"/>
  <c r="E9" i="61" s="1"/>
  <c r="B7" i="61"/>
  <c r="F6" i="61"/>
  <c r="E6" i="61"/>
  <c r="D6" i="61"/>
  <c r="F5" i="61"/>
  <c r="E5" i="61"/>
  <c r="D5" i="61"/>
  <c r="F4" i="61"/>
  <c r="E4" i="61"/>
  <c r="D4" i="61"/>
  <c r="D3" i="61"/>
  <c r="E3" i="61"/>
  <c r="C31" i="63"/>
  <c r="B31" i="63"/>
  <c r="C30" i="63"/>
  <c r="B30" i="63"/>
  <c r="C29" i="63"/>
  <c r="B29" i="63"/>
  <c r="C28" i="63"/>
  <c r="B28" i="63"/>
  <c r="C27" i="63"/>
  <c r="B27" i="63"/>
  <c r="B11" i="63"/>
  <c r="B7" i="63"/>
  <c r="B5" i="63"/>
  <c r="B4" i="63"/>
  <c r="F13" i="52"/>
  <c r="D18" i="53"/>
  <c r="A18" i="53" s="1"/>
  <c r="A17" i="53"/>
  <c r="A16" i="53"/>
  <c r="A15" i="53"/>
  <c r="A14" i="53"/>
  <c r="A13" i="53"/>
  <c r="B18" i="58"/>
  <c r="D24" i="44"/>
  <c r="F27" i="61"/>
  <c r="F12" i="60"/>
  <c r="F3" i="61"/>
  <c r="F27" i="60"/>
  <c r="F4" i="60"/>
  <c r="F10" i="61"/>
  <c r="F11" i="60"/>
  <c r="F28" i="60"/>
  <c r="G3" i="57"/>
  <c r="G31" i="57" s="1"/>
  <c r="B16" i="55" l="1"/>
  <c r="B14" i="55"/>
  <c r="B17" i="55" s="1"/>
  <c r="B9" i="58" s="1"/>
  <c r="B32" i="61"/>
  <c r="B18" i="63" s="1"/>
  <c r="D5" i="57"/>
  <c r="D10" i="57" s="1"/>
  <c r="K10" i="56"/>
  <c r="A27" i="63"/>
  <c r="I1" i="60"/>
  <c r="F30" i="60" s="1"/>
  <c r="F31" i="60" s="1"/>
  <c r="H10" i="57"/>
  <c r="E31" i="61"/>
  <c r="F31" i="61"/>
  <c r="F25" i="60"/>
  <c r="E25" i="61"/>
  <c r="E19" i="61"/>
  <c r="E31" i="60"/>
  <c r="F9" i="60"/>
  <c r="B36" i="55"/>
  <c r="B14" i="58"/>
  <c r="E7" i="61"/>
  <c r="B13" i="58"/>
  <c r="I13" i="52"/>
  <c r="B11" i="56" s="1"/>
  <c r="D11" i="56" s="1"/>
  <c r="E5" i="57"/>
  <c r="E10" i="57" s="1"/>
  <c r="E25" i="60"/>
  <c r="E13" i="61"/>
  <c r="E19" i="60"/>
  <c r="E13" i="60"/>
  <c r="F10" i="60"/>
  <c r="E7" i="60"/>
  <c r="B32" i="60"/>
  <c r="B5" i="56"/>
  <c r="L6" i="52"/>
  <c r="J13" i="52"/>
  <c r="B13" i="56" s="1"/>
  <c r="D13" i="56" s="1"/>
  <c r="L12" i="52"/>
  <c r="L10" i="52"/>
  <c r="L8" i="52"/>
  <c r="L9" i="52"/>
  <c r="L5" i="52"/>
  <c r="F25" i="61"/>
  <c r="D17" i="56"/>
  <c r="D24" i="56"/>
  <c r="D18" i="56"/>
  <c r="B64" i="44"/>
  <c r="B65" i="44" s="1"/>
  <c r="I1" i="61"/>
  <c r="F9" i="61" s="1"/>
  <c r="F13" i="61" s="1"/>
  <c r="B33" i="19"/>
  <c r="K1" i="57"/>
  <c r="B17" i="57" s="1"/>
  <c r="C24" i="69" s="1"/>
  <c r="G24" i="69" s="1"/>
  <c r="D37" i="56"/>
  <c r="F35" i="56"/>
  <c r="H35" i="56" s="1"/>
  <c r="N10" i="56"/>
  <c r="D19" i="56"/>
  <c r="J10" i="56"/>
  <c r="A31" i="63"/>
  <c r="A29" i="63"/>
  <c r="F7" i="61"/>
  <c r="F19" i="61"/>
  <c r="H13" i="52"/>
  <c r="A28" i="63"/>
  <c r="B34" i="63"/>
  <c r="F36" i="56"/>
  <c r="H36" i="56" s="1"/>
  <c r="L11" i="52"/>
  <c r="F5" i="57"/>
  <c r="F10" i="57" s="1"/>
  <c r="L10" i="56"/>
  <c r="G5" i="57"/>
  <c r="G10" i="57" s="1"/>
  <c r="M10" i="56"/>
  <c r="B47" i="44"/>
  <c r="B56" i="44"/>
  <c r="B53" i="44"/>
  <c r="B37" i="44"/>
  <c r="B28" i="44"/>
  <c r="B51" i="44" s="1"/>
  <c r="B70" i="44" s="1"/>
  <c r="B66" i="44"/>
  <c r="B7" i="58" l="1"/>
  <c r="F15" i="60"/>
  <c r="F19" i="60" s="1"/>
  <c r="F3" i="60"/>
  <c r="F7" i="60" s="1"/>
  <c r="L1" i="57"/>
  <c r="F13" i="60"/>
  <c r="E32" i="61"/>
  <c r="E32" i="60"/>
  <c r="B27" i="56" s="1"/>
  <c r="D27" i="56" s="1"/>
  <c r="H37" i="56"/>
  <c r="B26" i="56" s="1"/>
  <c r="D26" i="56" s="1"/>
  <c r="F37" i="56"/>
  <c r="B34" i="44"/>
  <c r="B35" i="44" s="1"/>
  <c r="B36" i="44" s="1"/>
  <c r="F32" i="61"/>
  <c r="B11" i="57"/>
  <c r="C12" i="69" s="1"/>
  <c r="G12" i="69" s="1"/>
  <c r="B19" i="57"/>
  <c r="C26" i="69" s="1"/>
  <c r="G26" i="69" s="1"/>
  <c r="B13" i="57"/>
  <c r="C14" i="69" s="1"/>
  <c r="G14" i="69" s="1"/>
  <c r="B5" i="57"/>
  <c r="B21" i="57"/>
  <c r="B16" i="57"/>
  <c r="C30" i="69" s="1"/>
  <c r="G30" i="69" s="1"/>
  <c r="B25" i="57"/>
  <c r="C34" i="69" s="1"/>
  <c r="G34" i="69" s="1"/>
  <c r="B20" i="57"/>
  <c r="B23" i="57"/>
  <c r="B22" i="57"/>
  <c r="C20" i="69"/>
  <c r="G20" i="69" s="1"/>
  <c r="B18" i="57"/>
  <c r="C36" i="69" s="1"/>
  <c r="G36" i="69" s="1"/>
  <c r="B24" i="57"/>
  <c r="C32" i="69" s="1"/>
  <c r="G32" i="69" s="1"/>
  <c r="B8" i="58"/>
  <c r="B19" i="55"/>
  <c r="B54" i="44"/>
  <c r="B55" i="44" s="1"/>
  <c r="B57" i="44" s="1"/>
  <c r="B72" i="44"/>
  <c r="B75" i="44"/>
  <c r="B80" i="44" s="1"/>
  <c r="B5" i="66" s="1"/>
  <c r="B8" i="57"/>
  <c r="B8" i="56"/>
  <c r="F32" i="60" l="1"/>
  <c r="B26" i="57"/>
  <c r="C22" i="69" s="1"/>
  <c r="G22" i="69" s="1"/>
  <c r="B27" i="57"/>
  <c r="C38" i="69" s="1"/>
  <c r="G38" i="69" s="1"/>
  <c r="B16" i="63"/>
  <c r="C28" i="69"/>
  <c r="G28" i="69" s="1"/>
  <c r="B5" i="58"/>
  <c r="B6" i="58" s="1"/>
  <c r="B3" i="55"/>
  <c r="B38" i="44"/>
  <c r="G5" i="52" s="1"/>
  <c r="B27" i="58"/>
  <c r="B73" i="44"/>
  <c r="B74" i="44" s="1"/>
  <c r="C8" i="58" l="1"/>
  <c r="C7" i="58"/>
  <c r="C9" i="58"/>
  <c r="K5" i="52"/>
  <c r="B76" i="44"/>
  <c r="G7" i="52" s="1"/>
  <c r="B79" i="44"/>
  <c r="K7" i="52" l="1"/>
  <c r="L7" i="52"/>
  <c r="L13" i="52" s="1"/>
  <c r="B14" i="56" s="1"/>
  <c r="K13" i="52"/>
  <c r="G13" i="52"/>
  <c r="B81" i="44"/>
  <c r="B4" i="66"/>
  <c r="B3" i="66" s="1"/>
  <c r="B12" i="56" s="1"/>
  <c r="B14" i="57" l="1"/>
  <c r="C18" i="69" s="1"/>
  <c r="G18" i="69" s="1"/>
  <c r="D14" i="56"/>
  <c r="D12" i="56"/>
  <c r="B12" i="57"/>
  <c r="B28" i="56"/>
  <c r="B28" i="57" l="1"/>
  <c r="B17" i="58" s="1"/>
  <c r="B19" i="58" s="1"/>
  <c r="C16" i="69"/>
  <c r="G16" i="69" s="1"/>
  <c r="D28" i="56"/>
  <c r="B15" i="63" l="1"/>
  <c r="B32" i="57"/>
  <c r="E4" i="56"/>
  <c r="B4" i="57"/>
  <c r="B6" i="57" s="1"/>
  <c r="G4" i="56"/>
  <c r="F4" i="56"/>
  <c r="B6" i="56"/>
  <c r="B7" i="56" s="1"/>
  <c r="H4" i="56"/>
  <c r="D4" i="56"/>
  <c r="B34" i="57" l="1"/>
  <c r="B24" i="58" s="1"/>
  <c r="G32" i="57"/>
  <c r="E32" i="57"/>
  <c r="F32" i="57"/>
  <c r="B33" i="57"/>
  <c r="H32" i="57"/>
  <c r="D32" i="57"/>
  <c r="C28" i="56"/>
  <c r="C16" i="56"/>
  <c r="C18" i="56"/>
  <c r="C21" i="56"/>
  <c r="C20" i="56"/>
  <c r="C24" i="56"/>
  <c r="C14" i="56"/>
  <c r="C19" i="56"/>
  <c r="C23" i="56"/>
  <c r="C22" i="56"/>
  <c r="C25" i="56"/>
  <c r="C17" i="56"/>
  <c r="C11" i="56"/>
  <c r="C15" i="56"/>
  <c r="C13" i="56"/>
  <c r="C26" i="56"/>
  <c r="C27" i="56"/>
  <c r="C12" i="56"/>
  <c r="D6" i="56"/>
  <c r="D7" i="56" s="1"/>
  <c r="B8" i="63"/>
  <c r="H4" i="57"/>
  <c r="B22" i="58"/>
  <c r="B23" i="58" s="1"/>
  <c r="D4" i="57"/>
  <c r="E4" i="57"/>
  <c r="G4" i="57"/>
  <c r="F4" i="57"/>
  <c r="C4" i="69" s="1"/>
  <c r="B7" i="57"/>
  <c r="H6" i="56"/>
  <c r="H7" i="56" s="1"/>
  <c r="F6" i="56"/>
  <c r="F7" i="56" s="1"/>
  <c r="G6" i="56"/>
  <c r="G7" i="56" s="1"/>
  <c r="E6" i="56"/>
  <c r="E7" i="56" s="1"/>
  <c r="D34" i="57" l="1"/>
  <c r="D33" i="57"/>
  <c r="E34" i="57"/>
  <c r="E33" i="57"/>
  <c r="H34" i="57"/>
  <c r="H33" i="57"/>
  <c r="F34" i="57"/>
  <c r="F33" i="57"/>
  <c r="G34" i="57"/>
  <c r="G33" i="57"/>
  <c r="G4" i="69"/>
  <c r="C8" i="69"/>
  <c r="G8" i="69" s="1"/>
  <c r="F6" i="57"/>
  <c r="D29" i="63"/>
  <c r="F29" i="63" s="1"/>
  <c r="D30" i="63"/>
  <c r="F30" i="63" s="1"/>
  <c r="G6" i="57"/>
  <c r="E30" i="63" s="1"/>
  <c r="G30" i="63" s="1"/>
  <c r="D27" i="63"/>
  <c r="D6" i="57"/>
  <c r="E27" i="63" s="1"/>
  <c r="D31" i="63"/>
  <c r="F31" i="63" s="1"/>
  <c r="H6" i="57"/>
  <c r="E31" i="63" s="1"/>
  <c r="G31" i="63" s="1"/>
  <c r="C20" i="57"/>
  <c r="B29" i="57"/>
  <c r="C13" i="57"/>
  <c r="C12" i="57"/>
  <c r="C23" i="57"/>
  <c r="C25" i="57"/>
  <c r="C15" i="57"/>
  <c r="C17" i="57"/>
  <c r="C19" i="57"/>
  <c r="C21" i="57"/>
  <c r="C11" i="57"/>
  <c r="C27" i="57"/>
  <c r="C28" i="57"/>
  <c r="C24" i="57"/>
  <c r="C26" i="57"/>
  <c r="C14" i="57"/>
  <c r="C16" i="57"/>
  <c r="C18" i="57"/>
  <c r="C22" i="57"/>
  <c r="E6" i="57"/>
  <c r="E28" i="63" s="1"/>
  <c r="G28" i="63" s="1"/>
  <c r="D28" i="63"/>
  <c r="F28" i="63" s="1"/>
  <c r="B26" i="58" l="1"/>
  <c r="B25" i="58"/>
  <c r="B28" i="58"/>
  <c r="E7" i="57"/>
  <c r="H7" i="57"/>
  <c r="E29" i="63"/>
  <c r="G29" i="63" s="1"/>
  <c r="C6" i="69"/>
  <c r="F7" i="57"/>
  <c r="D7" i="57"/>
  <c r="G7" i="57"/>
  <c r="G27" i="63"/>
  <c r="D32" i="63"/>
  <c r="F27" i="63"/>
  <c r="F32" i="63" s="1"/>
  <c r="B9" i="63" s="1"/>
  <c r="E32" i="63" l="1"/>
  <c r="B12" i="63" s="1"/>
  <c r="G32" i="63"/>
  <c r="B13" i="63" s="1"/>
  <c r="G6" i="69"/>
  <c r="C10" i="69"/>
  <c r="B22" i="63" l="1"/>
  <c r="C42" i="69"/>
  <c r="G42" i="69" s="1"/>
  <c r="G10" i="69"/>
  <c r="C5" i="58" l="1"/>
  <c r="C6" i="58" s="1"/>
  <c r="C14" i="58" l="1"/>
  <c r="C12" i="58"/>
  <c r="C13"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A16" authorId="0" shapeId="0" xr:uid="{00000000-0006-0000-0100-000001000000}">
      <text>
        <r>
          <rPr>
            <b/>
            <sz val="8"/>
            <color indexed="81"/>
            <rFont val="Tahoma"/>
            <family val="2"/>
          </rPr>
          <t>MES:</t>
        </r>
        <r>
          <rPr>
            <sz val="8"/>
            <color indexed="81"/>
            <rFont val="Tahoma"/>
            <family val="2"/>
          </rPr>
          <t xml:space="preserve">
Introduire la raison sociale de la future entreprise ou le nom du projet.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A15" authorId="0" shapeId="0" xr:uid="{00000000-0006-0000-0D00-000001000000}">
      <text>
        <r>
          <rPr>
            <sz val="8"/>
            <color indexed="81"/>
            <rFont val="Tahoma"/>
            <family val="2"/>
          </rPr>
          <t>Correspond au futur loyer de l'entreprise y compris l'éventuel part du loyer privé utilisé à des fins commerciales.</t>
        </r>
        <r>
          <rPr>
            <sz val="8"/>
            <color indexed="81"/>
            <rFont val="Tahoma"/>
            <family val="2"/>
          </rPr>
          <t xml:space="preserve">
</t>
        </r>
      </text>
    </comment>
    <comment ref="A20" authorId="0" shapeId="0" xr:uid="{00000000-0006-0000-0D00-000002000000}">
      <text>
        <r>
          <rPr>
            <sz val="8"/>
            <color indexed="81"/>
            <rFont val="Tahoma"/>
            <family val="2"/>
          </rPr>
          <t>Charges et autres frais liés au loyer si celles-ci n'y sont pas déjà incluses.</t>
        </r>
        <r>
          <rPr>
            <sz val="8"/>
            <color indexed="81"/>
            <rFont val="Tahoma"/>
            <family val="2"/>
          </rPr>
          <t xml:space="preserve">
</t>
        </r>
      </text>
    </comment>
    <comment ref="A21" authorId="0" shapeId="0" xr:uid="{00000000-0006-0000-0D00-000003000000}">
      <text>
        <r>
          <rPr>
            <sz val="8"/>
            <color indexed="81"/>
            <rFont val="Tahoma"/>
            <family val="2"/>
          </rPr>
          <t>Frais de maintenance informatique, réparation, installation de matériel de bureau, etc...</t>
        </r>
        <r>
          <rPr>
            <sz val="8"/>
            <color indexed="81"/>
            <rFont val="Tahoma"/>
            <family val="2"/>
          </rPr>
          <t xml:space="preserve">
</t>
        </r>
      </text>
    </comment>
    <comment ref="A22" authorId="0" shapeId="0" xr:uid="{00000000-0006-0000-0D00-000004000000}">
      <text>
        <r>
          <rPr>
            <sz val="8"/>
            <color indexed="81"/>
            <rFont val="Tahoma"/>
            <family val="2"/>
          </rPr>
          <t>Factures de téléphone liées à l'activité. Abonnement Internet, Skype et autres forfaits de téléphonie.</t>
        </r>
        <r>
          <rPr>
            <sz val="8"/>
            <color indexed="81"/>
            <rFont val="Tahoma"/>
            <family val="2"/>
          </rPr>
          <t xml:space="preserve">
</t>
        </r>
      </text>
    </comment>
    <comment ref="A23" authorId="0" shapeId="0" xr:uid="{00000000-0006-0000-0D00-000005000000}">
      <text>
        <r>
          <rPr>
            <sz val="8"/>
            <color indexed="81"/>
            <rFont val="Tahoma"/>
            <family val="2"/>
          </rPr>
          <t xml:space="preserve">mandat de la fiduciaire et de l'éventuel réviseur au comptes.
</t>
        </r>
      </text>
    </comment>
    <comment ref="A25" authorId="0" shapeId="0" xr:uid="{00000000-0006-0000-0D00-000006000000}">
      <text>
        <r>
          <rPr>
            <sz val="8"/>
            <color indexed="81"/>
            <rFont val="Tahoma"/>
            <family val="2"/>
          </rPr>
          <t>Autres charges qui ne sont pas mentionnées dans les rubriques précédentes.</t>
        </r>
        <r>
          <rPr>
            <sz val="8"/>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A5" authorId="0" shapeId="0" xr:uid="{00000000-0006-0000-1300-000001000000}">
      <text>
        <r>
          <rPr>
            <sz val="8"/>
            <color indexed="81"/>
            <rFont val="Tahoma"/>
            <family val="2"/>
          </rPr>
          <t>Indique le pourcentage de fonds propres par rapport au total du bilan.
Plus ce ratio est élevé et plus l'entreprise "appartient" à son/ses propriétaires (notion d'autofinancement du projet). Dénote d'une certaine solidité.</t>
        </r>
      </text>
    </comment>
    <comment ref="A6" authorId="0" shapeId="0" xr:uid="{00000000-0006-0000-1300-000002000000}">
      <text>
        <r>
          <rPr>
            <sz val="8"/>
            <color indexed="81"/>
            <rFont val="Tahoma"/>
            <family val="2"/>
          </rPr>
          <t xml:space="preserve">Indique le degré d'endettement de l'entreprise par rapport au total du bilan.
Plus ce ratio est élevé et plus l'entreprise "appartient" à des tiers (banque ou autres bailleurs de fonds).
Information:
Les banques sont particulièrement sensible à l'équilibre entre les fonds propres et les fonds étrangers.
</t>
        </r>
      </text>
    </comment>
    <comment ref="A7" authorId="0" shapeId="0" xr:uid="{00000000-0006-0000-1300-000003000000}">
      <text>
        <r>
          <rPr>
            <sz val="8"/>
            <color indexed="81"/>
            <rFont val="Tahoma"/>
            <family val="2"/>
          </rPr>
          <t xml:space="preserve">Les principes de gestion financière disent que le long terme doit être financé par des capitaux long terme.
Ce ratio indique dans quelle mesure les fonds propres financent les immobilisations (infrastructure de l'entreprise).
</t>
        </r>
      </text>
    </comment>
    <comment ref="A8" authorId="0" shapeId="0" xr:uid="{00000000-0006-0000-1300-000004000000}">
      <text>
        <r>
          <rPr>
            <sz val="8"/>
            <color indexed="81"/>
            <rFont val="Tahoma"/>
            <family val="2"/>
          </rPr>
          <t>Par rapport au ratio précédent, le degré de couverture 2 tient également compte des emprunts long terme de l'entreprise. 
Par convention, ce ratio devrait atteindre (voir dépasser) les 100%  indiquant ainsi l'adéquation entre l'utilisation et la provenance des fonds  à long terme.</t>
        </r>
        <r>
          <rPr>
            <sz val="8"/>
            <color indexed="81"/>
            <rFont val="Tahoma"/>
            <family val="2"/>
          </rPr>
          <t xml:space="preserve">
</t>
        </r>
      </text>
    </comment>
    <comment ref="A9" authorId="0" shapeId="0" xr:uid="{00000000-0006-0000-1300-000005000000}">
      <text>
        <r>
          <rPr>
            <sz val="8"/>
            <color indexed="81"/>
            <rFont val="Tahoma"/>
            <family val="2"/>
          </rPr>
          <t>Identique au ratio précédent en incluant toutefois les stocks minimaux nécessaires à l'activité de l'entreprise.
Ce ratio devrait donc être supérieur à 100%.</t>
        </r>
        <r>
          <rPr>
            <sz val="8"/>
            <color indexed="81"/>
            <rFont val="Tahoma"/>
            <family val="2"/>
          </rPr>
          <t xml:space="preserve">
</t>
        </r>
      </text>
    </comment>
    <comment ref="A12" authorId="0" shapeId="0" xr:uid="{00000000-0006-0000-1300-000006000000}">
      <text>
        <r>
          <rPr>
            <sz val="8"/>
            <color indexed="81"/>
            <rFont val="Tahoma"/>
            <family val="2"/>
          </rPr>
          <t>Indique dans quelle mesure l'entreprise peut faire face à ces dettes court terme en mobilisant ses ressources immédiatement disponibles (liquidités).</t>
        </r>
        <r>
          <rPr>
            <sz val="8"/>
            <color indexed="81"/>
            <rFont val="Tahoma"/>
            <family val="2"/>
          </rPr>
          <t xml:space="preserve">
</t>
        </r>
      </text>
    </comment>
    <comment ref="A13" authorId="0" shapeId="0" xr:uid="{00000000-0006-0000-1300-000007000000}">
      <text>
        <r>
          <rPr>
            <sz val="8"/>
            <color indexed="81"/>
            <rFont val="Tahoma"/>
            <family val="2"/>
          </rPr>
          <t>Identique au ratio précédent mais en incluant également les factures ouvertes des clients.
Il renseigne donc sur la capacité de l'entreprise à faire face à ses dettes court terme avec les liquidités disponibles plus le paiement immédiat de tous les débiteurs au bilan.
Ce ratio devrait atteindre les 100%.</t>
        </r>
      </text>
    </comment>
    <comment ref="A14" authorId="0" shapeId="0" xr:uid="{00000000-0006-0000-1300-000008000000}">
      <text>
        <r>
          <rPr>
            <sz val="8"/>
            <color indexed="81"/>
            <rFont val="Tahoma"/>
            <family val="2"/>
          </rPr>
          <t>Identique au ratio précédent en ajoutant la valeur des stocks. 
Il indique donc la capacité d'une entreprise à faire face à ses dettes court terme en mobilisant tous les actifs circulants (liquidités, paiement des débiteurs et liquidation des stocks).
Il doit donc atteindre un niveau supérieur à 100%.</t>
        </r>
        <r>
          <rPr>
            <sz val="8"/>
            <color indexed="81"/>
            <rFont val="Tahoma"/>
            <family val="2"/>
          </rPr>
          <t xml:space="preserve">
</t>
        </r>
      </text>
    </comment>
    <comment ref="A17" authorId="0" shapeId="0" xr:uid="{00000000-0006-0000-1300-000009000000}">
      <text>
        <r>
          <rPr>
            <sz val="8"/>
            <color indexed="81"/>
            <rFont val="Tahoma"/>
            <family val="2"/>
          </rPr>
          <t>En fonction des charges d'exploitation prévues, cet indicateur présente le degré de liquidités théoriques minimum idéal pour le lancement du projet (3 mois de charges d'exploitation).</t>
        </r>
        <r>
          <rPr>
            <sz val="8"/>
            <color indexed="81"/>
            <rFont val="Tahoma"/>
            <family val="2"/>
          </rPr>
          <t xml:space="preserve">
</t>
        </r>
      </text>
    </comment>
    <comment ref="A19" authorId="0" shapeId="0" xr:uid="{00000000-0006-0000-1300-00000A000000}">
      <text>
        <r>
          <rPr>
            <sz val="8"/>
            <color indexed="81"/>
            <rFont val="Tahoma"/>
            <family val="2"/>
          </rPr>
          <t xml:space="preserve">Indique, en fonction des deux éléments précédents, le besoin respectivement l'excédent des liquidités du projet.
</t>
        </r>
      </text>
    </comment>
    <comment ref="A22" authorId="0" shapeId="0" xr:uid="{00000000-0006-0000-1300-00000B000000}">
      <text>
        <r>
          <rPr>
            <sz val="8"/>
            <color indexed="81"/>
            <rFont val="Tahoma"/>
            <family val="2"/>
          </rPr>
          <t>Indique le chiffre d'affaires à réaliser pour atteindre le seuil de rentabilité de l'entreprise sur la période considérée.</t>
        </r>
        <r>
          <rPr>
            <sz val="8"/>
            <color indexed="81"/>
            <rFont val="Tahoma"/>
            <family val="2"/>
          </rPr>
          <t xml:space="preserve">
</t>
        </r>
      </text>
    </comment>
    <comment ref="A23" authorId="0" shapeId="0" xr:uid="{00000000-0006-0000-1300-00000C000000}">
      <text>
        <r>
          <rPr>
            <sz val="8"/>
            <color indexed="81"/>
            <rFont val="Tahoma"/>
            <family val="2"/>
          </rPr>
          <t>Seuil de rentabilité pour un mois standard.</t>
        </r>
        <r>
          <rPr>
            <sz val="8"/>
            <color indexed="81"/>
            <rFont val="Tahoma"/>
            <family val="2"/>
          </rPr>
          <t xml:space="preserve">
</t>
        </r>
      </text>
    </comment>
    <comment ref="A24" authorId="0" shapeId="0" xr:uid="{00000000-0006-0000-1300-00000D000000}">
      <text>
        <r>
          <rPr>
            <sz val="8"/>
            <color indexed="81"/>
            <rFont val="Tahoma"/>
            <family val="2"/>
          </rPr>
          <t>Seuil de rentabilité journalier théorique</t>
        </r>
      </text>
    </comment>
    <comment ref="A25" authorId="0" shapeId="0" xr:uid="{00000000-0006-0000-1300-00000E000000}">
      <text>
        <r>
          <rPr>
            <sz val="8"/>
            <color indexed="81"/>
            <rFont val="Tahoma"/>
            <family val="2"/>
          </rPr>
          <t xml:space="preserve">Taux de rendement des capitaux propres investis dans le projet. 
</t>
        </r>
        <r>
          <rPr>
            <sz val="8"/>
            <color indexed="81"/>
            <rFont val="Tahoma"/>
            <family val="2"/>
          </rPr>
          <t xml:space="preserve">
A comparer avec des éventuelles alternatives d'investissement.</t>
        </r>
      </text>
    </comment>
    <comment ref="A26" authorId="0" shapeId="0" xr:uid="{00000000-0006-0000-1300-00000F000000}">
      <text>
        <r>
          <rPr>
            <sz val="8"/>
            <color indexed="81"/>
            <rFont val="Tahoma"/>
            <family val="2"/>
          </rPr>
          <t>Rentabilité des actifs de l'entreprise.
Adéquation entre la structure et la production de richesses de l'entreprise.</t>
        </r>
        <r>
          <rPr>
            <sz val="8"/>
            <color indexed="81"/>
            <rFont val="Tahoma"/>
            <family val="2"/>
          </rPr>
          <t xml:space="preserve">
</t>
        </r>
      </text>
    </comment>
    <comment ref="A27" authorId="0" shapeId="0" xr:uid="{00000000-0006-0000-1300-000010000000}">
      <text>
        <r>
          <rPr>
            <sz val="8"/>
            <color indexed="81"/>
            <rFont val="Tahoma"/>
            <family val="2"/>
          </rPr>
          <t>Indique la marge brute pondérée de l'entreprise sur l'ensemble de ses produits/services.</t>
        </r>
        <r>
          <rPr>
            <sz val="8"/>
            <color indexed="81"/>
            <rFont val="Tahoma"/>
            <family val="2"/>
          </rPr>
          <t xml:space="preserve">
</t>
        </r>
      </text>
    </comment>
    <comment ref="A28" authorId="0" shapeId="0" xr:uid="{00000000-0006-0000-1300-000011000000}">
      <text>
        <r>
          <rPr>
            <sz val="8"/>
            <color indexed="81"/>
            <rFont val="Tahoma"/>
            <family val="2"/>
          </rPr>
          <t>Résultat net + amortissements.
Indique la capacité d'autofinancement de l'entreprise.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Thomas Papanikolaou</author>
  </authors>
  <commentList>
    <comment ref="K47" authorId="0" shapeId="0" xr:uid="{00000000-0006-0000-0300-000001000000}">
      <text>
        <r>
          <rPr>
            <sz val="9"/>
            <color indexed="81"/>
            <rFont val="Calibri"/>
            <family val="2"/>
          </rPr>
          <t xml:space="preserve">Revenue Model
Life Time Value
Revenue
Gross Margin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Nespresso</author>
    <author>Dan NOEL</author>
  </authors>
  <commentList>
    <comment ref="B15" authorId="0" shapeId="0" xr:uid="{00000000-0006-0000-0400-000001000000}">
      <text>
        <r>
          <rPr>
            <sz val="8"/>
            <color indexed="81"/>
            <rFont val="Tahoma"/>
            <family val="2"/>
          </rPr>
          <t>Pour une raison individuelle, doit obligatoirement mentionner le nom de famille du créateur.
Pour une SNC, soit tous les noms des associés soit 1 nom + Cie, Frères, Fils, …
Pour une SA mention de "SA" facultatif après le nom.
Pour une Sàrl, mention obligatoire de "Sàrl" après le nom.</t>
        </r>
      </text>
    </comment>
    <comment ref="B25" authorId="0" shapeId="0" xr:uid="{00000000-0006-0000-0400-000002000000}">
      <text>
        <r>
          <rPr>
            <sz val="8"/>
            <color indexed="81"/>
            <rFont val="Tahoma"/>
            <family val="2"/>
          </rPr>
          <t>Mentionner ici la date de début de la projection. Attention utiliser le format texte.</t>
        </r>
      </text>
    </comment>
    <comment ref="B26" authorId="0" shapeId="0" xr:uid="{00000000-0006-0000-0400-000003000000}">
      <text>
        <r>
          <rPr>
            <sz val="8"/>
            <color indexed="81"/>
            <rFont val="Tahoma"/>
            <family val="2"/>
          </rPr>
          <t xml:space="preserve">Mentionner ici la date de la fin de la projection. Attention utiliser le format texte.
</t>
        </r>
      </text>
    </comment>
    <comment ref="B29" authorId="0" shapeId="0" xr:uid="{00000000-0006-0000-0400-000004000000}">
      <text>
        <r>
          <rPr>
            <sz val="8"/>
            <color indexed="81"/>
            <rFont val="Tahoma"/>
            <family val="2"/>
          </rPr>
          <t xml:space="preserve">Sur combien de mois par an (base année = 12 mois) sera réalisé le chiffres d'affaires. 
Plus l'activité sera marquée par un aspect saisonnier plus le nombre de mois sera faible. Attention tenir compte des éventuelles vacances ainsi que les périodes creuses.
</t>
        </r>
      </text>
    </comment>
    <comment ref="B30" authorId="0" shapeId="0" xr:uid="{00000000-0006-0000-0400-000005000000}">
      <text>
        <r>
          <rPr>
            <sz val="8"/>
            <color indexed="81"/>
            <rFont val="Tahoma"/>
            <family val="2"/>
          </rPr>
          <t>Indiquer le nombre théorique de jours travaillés lors d'une semaine standard 
(exemple: du lundi au vendredi = 5 jours)</t>
        </r>
        <r>
          <rPr>
            <sz val="8"/>
            <color indexed="81"/>
            <rFont val="Tahoma"/>
            <family val="2"/>
          </rPr>
          <t xml:space="preserve">
</t>
        </r>
      </text>
    </comment>
    <comment ref="B35" authorId="0" shapeId="0" xr:uid="{00000000-0006-0000-0400-000006000000}">
      <text>
        <r>
          <rPr>
            <sz val="8"/>
            <color indexed="81"/>
            <rFont val="Tahoma"/>
            <family val="2"/>
          </rPr>
          <t>Correspond au taux de charges sociales pour la part employeur à prévoir pour les salariés.
Valable pour les collaborateurs dans tous les cas et le(s) fondateur(s) pour la SA et la Sàrl. En général compter entre  15% et 18%.
Attention: prévoir un taux plus élevé en fonction de l'âge des salariés.</t>
        </r>
        <r>
          <rPr>
            <sz val="8"/>
            <color indexed="81"/>
            <rFont val="Tahoma"/>
            <family val="2"/>
          </rPr>
          <t xml:space="preserve">
</t>
        </r>
      </text>
    </comment>
    <comment ref="B37" authorId="0" shapeId="0" xr:uid="{00000000-0006-0000-0400-000007000000}">
      <text>
        <r>
          <rPr>
            <sz val="8"/>
            <color indexed="81"/>
            <rFont val="Tahoma"/>
            <family val="2"/>
          </rPr>
          <t>Taux d'intérêts calculé par la banque pour la limite de crédit.
Attention: ce taux dépend fortement de la classe de risques du client...</t>
        </r>
        <r>
          <rPr>
            <sz val="8"/>
            <color indexed="81"/>
            <rFont val="Tahoma"/>
            <family val="2"/>
          </rPr>
          <t xml:space="preserve">
</t>
        </r>
      </text>
    </comment>
    <comment ref="B38" authorId="0" shapeId="0" xr:uid="{00000000-0006-0000-0400-000008000000}">
      <text>
        <r>
          <rPr>
            <sz val="8"/>
            <color indexed="81"/>
            <rFont val="Tahoma"/>
            <family val="2"/>
          </rPr>
          <t xml:space="preserve">Taux d'intérêts calculés par la banque pour les emprunts long terme (crédit, crédit d'investissement, ATF,…)
</t>
        </r>
      </text>
    </comment>
    <comment ref="B39" authorId="0" shapeId="0" xr:uid="{00000000-0006-0000-0400-000009000000}">
      <text>
        <r>
          <rPr>
            <sz val="8"/>
            <color indexed="81"/>
            <rFont val="Tahoma"/>
            <family val="2"/>
          </rPr>
          <t xml:space="preserve">Taux d'intérêts à appliquer pour les autres prêts long terme (famille, amis, partenaires,…).
</t>
        </r>
      </text>
    </comment>
    <comment ref="A42" authorId="1" shapeId="0" xr:uid="{00000000-0006-0000-0400-00000A000000}">
      <text>
        <r>
          <rPr>
            <b/>
            <sz val="9"/>
            <color indexed="81"/>
            <rFont val="Arial"/>
            <family val="2"/>
          </rPr>
          <t>MES Gestion:</t>
        </r>
        <r>
          <rPr>
            <sz val="9"/>
            <color indexed="81"/>
            <rFont val="Arial"/>
            <family val="2"/>
          </rPr>
          <t xml:space="preserve">
Si vous optez pour la société en noms collectif, il convient d'introduire ici les parts au capital de chacun des associés.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E4" authorId="0" shapeId="0" xr:uid="{00000000-0006-0000-0600-000001000000}">
      <text>
        <r>
          <rPr>
            <sz val="8"/>
            <color indexed="81"/>
            <rFont val="Tahoma"/>
            <family val="2"/>
          </rPr>
          <t>S'agit-il du créateur de l'entreprise en raison individuelle ou d'une SNC?</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B12" authorId="0" shapeId="0" xr:uid="{00000000-0006-0000-0700-000001000000}">
      <text>
        <r>
          <rPr>
            <sz val="8"/>
            <color indexed="81"/>
            <rFont val="Tahoma"/>
            <family val="2"/>
          </rPr>
          <t>Quelle est la part de ce produit/prestation dans le chiffre d'affaires global?
Exemple: 100 = 100%</t>
        </r>
        <r>
          <rPr>
            <sz val="8"/>
            <color indexed="81"/>
            <rFont val="Tahoma"/>
            <family val="2"/>
          </rPr>
          <t xml:space="preserve">
</t>
        </r>
      </text>
    </comment>
    <comment ref="C12" authorId="0" shapeId="0" xr:uid="{00000000-0006-0000-0700-000002000000}">
      <text>
        <r>
          <rPr>
            <sz val="8"/>
            <color indexed="81"/>
            <rFont val="Tahoma"/>
            <family val="2"/>
          </rPr>
          <t>Lorsque vous réalisez une vente de 100 de ce produit/prestation, quelle est la part de frais variables (fournisseurs,…)?</t>
        </r>
        <r>
          <rPr>
            <sz val="8"/>
            <color indexed="81"/>
            <rFont val="Tahoma"/>
            <family val="2"/>
          </rPr>
          <t xml:space="preserve">
Exemple: 50 = 50% de mon chiffre d'affaires sert à payer mes fournisseurs.</t>
        </r>
      </text>
    </comment>
    <comment ref="D12" authorId="0" shapeId="0" xr:uid="{00000000-0006-0000-0700-000003000000}">
      <text>
        <r>
          <rPr>
            <sz val="8"/>
            <color indexed="81"/>
            <rFont val="Tahoma"/>
            <family val="2"/>
          </rPr>
          <t>Quel délai de paiement accordez-vous à vos clients?
Attention tenir compte des pratiques du secteur.</t>
        </r>
        <r>
          <rPr>
            <sz val="8"/>
            <color indexed="81"/>
            <rFont val="Tahoma"/>
            <family val="2"/>
          </rPr>
          <t xml:space="preserve">
</t>
        </r>
      </text>
    </comment>
    <comment ref="E12" authorId="0" shapeId="0" xr:uid="{00000000-0006-0000-0700-000004000000}">
      <text>
        <r>
          <rPr>
            <sz val="8"/>
            <color indexed="81"/>
            <rFont val="Tahoma"/>
            <family val="2"/>
          </rPr>
          <t>Quel délais de paiement obtenez-vous de vos fournisseurs?
Attention tenir compte de la pratique du secteur.</t>
        </r>
        <r>
          <rPr>
            <sz val="8"/>
            <color indexed="81"/>
            <rFont val="Tahoma"/>
            <family val="2"/>
          </rPr>
          <t xml:space="preserve">
</t>
        </r>
      </text>
    </comment>
    <comment ref="A20" authorId="0" shapeId="0" xr:uid="{00000000-0006-0000-0700-000005000000}">
      <text>
        <r>
          <rPr>
            <sz val="8"/>
            <color indexed="81"/>
            <rFont val="Tahoma"/>
            <family val="2"/>
          </rPr>
          <t>Comment souhaitez-vous être perçu par vos clients?
Quelle image souhaitez-vous donner?
Quel est l'"ADN" de votre marque?</t>
        </r>
      </text>
    </comment>
    <comment ref="A30" authorId="0" shapeId="0" xr:uid="{00000000-0006-0000-0700-000006000000}">
      <text>
        <r>
          <rPr>
            <sz val="8"/>
            <color indexed="81"/>
            <rFont val="Tahoma"/>
            <family val="2"/>
          </rPr>
          <t>Comment votre prix sera-t-il positionné par rapport au marché actuel?
Dans la moyenne, en-dessous, au-dessus,.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B21" authorId="0" shapeId="0" xr:uid="{00000000-0006-0000-0800-000001000000}">
      <text>
        <r>
          <rPr>
            <sz val="8"/>
            <color indexed="81"/>
            <rFont val="Tahoma"/>
            <family val="2"/>
          </rPr>
          <t xml:space="preserve">Introduire la légende des modes de contact que vous allez utiliser.
Exemple: T= téléphone, I= Internet, M = Mailing, ...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A4" authorId="0" shapeId="0" xr:uid="{00000000-0006-0000-0900-000001000000}">
      <text>
        <r>
          <rPr>
            <sz val="8"/>
            <color indexed="81"/>
            <rFont val="Tahoma"/>
            <family val="2"/>
          </rPr>
          <t>Comment pouvez-vous décrire votre marché à un néophyte?
Exemples:
Dans quel phase de son cycle de vie se situe-t-il? S'agit-t-il d'un marché ouvert ou au contraire ultra-fermé avec des barrières à l'entrée, ...</t>
        </r>
      </text>
    </comment>
    <comment ref="A12" authorId="0" shapeId="0" xr:uid="{00000000-0006-0000-0900-000002000000}">
      <text>
        <r>
          <rPr>
            <sz val="8"/>
            <color indexed="81"/>
            <rFont val="Tahoma"/>
            <family val="2"/>
          </rPr>
          <t>Pourquoi chez vous et pas chez les autres?
Quelle est votre stratégie pour vous imposer sur le marché?</t>
        </r>
        <r>
          <rPr>
            <sz val="8"/>
            <color indexed="81"/>
            <rFont val="Tahoma"/>
            <family val="2"/>
          </rPr>
          <t xml:space="preserve">
</t>
        </r>
      </text>
    </comment>
    <comment ref="A30" authorId="0" shapeId="0" xr:uid="{00000000-0006-0000-0900-000003000000}">
      <text>
        <r>
          <rPr>
            <sz val="8"/>
            <color indexed="81"/>
            <rFont val="Tahoma"/>
            <family val="2"/>
          </rPr>
          <t>Quel rôle souhaitez-vous jouer sur le marché?
Etre un/le leader? Occuper un rôle de spécialiste? Jouer la carte de la niche très spécialisée?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B3" authorId="0" shapeId="0" xr:uid="{00000000-0006-0000-0A00-000001000000}">
      <text>
        <r>
          <rPr>
            <sz val="8"/>
            <color indexed="81"/>
            <rFont val="Tahoma"/>
            <family val="2"/>
          </rPr>
          <t>ATTENTION: Le bilan initial doit toujours être équilibré. Cette case mentionne V lorsque c'est le cas. Si un X apparait recherchez les éventuelles erreurs.</t>
        </r>
        <r>
          <rPr>
            <sz val="8"/>
            <color indexed="81"/>
            <rFont val="Tahoma"/>
            <family val="2"/>
          </rPr>
          <t xml:space="preserve">
</t>
        </r>
      </text>
    </comment>
    <comment ref="A10" authorId="0" shapeId="0" xr:uid="{00000000-0006-0000-0A00-000002000000}">
      <text>
        <r>
          <rPr>
            <sz val="8"/>
            <color indexed="81"/>
            <rFont val="Tahoma"/>
            <family val="2"/>
          </rPr>
          <t xml:space="preserve">Configurer les actifs en cliquant  sur ce lien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Nespresso</author>
  </authors>
  <commentList>
    <comment ref="A1" authorId="0" shapeId="0" xr:uid="{00000000-0006-0000-0C00-000001000000}">
      <text>
        <r>
          <rPr>
            <sz val="8"/>
            <color indexed="81"/>
            <rFont val="Tahoma"/>
            <family val="2"/>
          </rPr>
          <t>Introduire les éventuels investissements à réaliser entre la date de début et la date de fin de projection. Les actifs nécessaires acquis avant l'ouverture doivent être enregistrés dans les actifs du bilan initial.</t>
        </r>
        <r>
          <rPr>
            <sz val="8"/>
            <color indexed="81"/>
            <rFont val="Tahoma"/>
            <family val="2"/>
          </rPr>
          <t xml:space="preserve">
</t>
        </r>
      </text>
    </comment>
  </commentList>
</comments>
</file>

<file path=xl/sharedStrings.xml><?xml version="1.0" encoding="utf-8"?>
<sst xmlns="http://schemas.openxmlformats.org/spreadsheetml/2006/main" count="756" uniqueCount="492">
  <si>
    <t>Seuil de rentabilité de la période</t>
  </si>
  <si>
    <t>Objectif de chiffre d'affaires mensuel</t>
  </si>
  <si>
    <t>Objectif de chiffre d'affaires journalier</t>
  </si>
  <si>
    <t>Degré de couverture 1 
(fonds propres par rapport aux immobilisations)</t>
  </si>
  <si>
    <t>Degré de couverture 2 
(capitaux long terme par rapport aux immobilisations)</t>
  </si>
  <si>
    <t>Degré de couverture 3
(capitaux long terme / immobilisations + stocks minimal)</t>
  </si>
  <si>
    <t>Sponsoring</t>
  </si>
  <si>
    <t>Portes-ouvertes</t>
  </si>
  <si>
    <t>Relations publiques</t>
  </si>
  <si>
    <t>Opérations promotionnelles</t>
  </si>
  <si>
    <t>Catalogues</t>
  </si>
  <si>
    <t>%</t>
  </si>
  <si>
    <t>Politique de prix</t>
  </si>
  <si>
    <t>Press-book</t>
  </si>
  <si>
    <t>Mailing courrier ciblé</t>
  </si>
  <si>
    <t>Mailing fax ciblé</t>
  </si>
  <si>
    <t>TV régionale</t>
  </si>
  <si>
    <t>Journaux locaux</t>
  </si>
  <si>
    <t>Journaux spécialisés</t>
  </si>
  <si>
    <t>Magazines spécialisés</t>
  </si>
  <si>
    <t>Déco véhicule</t>
  </si>
  <si>
    <t>Bâches publicitaires</t>
  </si>
  <si>
    <t>Matin</t>
  </si>
  <si>
    <t>Après-midi</t>
  </si>
  <si>
    <t>Lundi</t>
  </si>
  <si>
    <t>Mardi</t>
  </si>
  <si>
    <t>Mercredi</t>
  </si>
  <si>
    <t>Jeudi</t>
  </si>
  <si>
    <t>Principal avantage pour le client</t>
  </si>
  <si>
    <t>Données financières</t>
  </si>
  <si>
    <t>Couples marché/produit</t>
  </si>
  <si>
    <t>Priorité</t>
  </si>
  <si>
    <t>Approche</t>
  </si>
  <si>
    <t>Prioritaire</t>
  </si>
  <si>
    <t>Secondaire</t>
  </si>
  <si>
    <t>Marginale</t>
  </si>
  <si>
    <t>Type d'approche</t>
  </si>
  <si>
    <t>Durée de vie</t>
  </si>
  <si>
    <t>Taux Amort.</t>
  </si>
  <si>
    <t>Amort. / an</t>
  </si>
  <si>
    <t>Amort. Pér.</t>
  </si>
  <si>
    <t>TOTAL machines, appareils, outils, ….</t>
  </si>
  <si>
    <t>Machines, appareils, outils,…</t>
  </si>
  <si>
    <t>TOTAL machines de bureau, informatique, …</t>
  </si>
  <si>
    <t>Stocks (produits destinés à la vente, matières premières)</t>
  </si>
  <si>
    <t>Véhicules</t>
  </si>
  <si>
    <t>Immobilisations corporelles (immeubles et terrains)</t>
  </si>
  <si>
    <t>Total des actifs immobilisés</t>
  </si>
  <si>
    <t>Total des actifs</t>
  </si>
  <si>
    <t>Fonds propres/capital social/capital-actions</t>
  </si>
  <si>
    <t>Résultat brut (bénéfice brut)</t>
  </si>
  <si>
    <t>Frais de locaux</t>
  </si>
  <si>
    <t>Assurances de choses, taxes, droits, autorisations</t>
  </si>
  <si>
    <t>Adresse email</t>
  </si>
  <si>
    <t>Date de début de l'activité</t>
  </si>
  <si>
    <t>NPA / Ville</t>
  </si>
  <si>
    <t>Durée de la projection en mois</t>
  </si>
  <si>
    <t>Date de fin de la projection</t>
  </si>
  <si>
    <t>Nombre de jours de travail par semaine</t>
  </si>
  <si>
    <t>Nombre de jours de la projection</t>
  </si>
  <si>
    <t>Nom et prénom du créateur</t>
  </si>
  <si>
    <t>Numéro téléphone</t>
  </si>
  <si>
    <t>Idée commerciale</t>
  </si>
  <si>
    <t>Besoins financiers et conditions du succès</t>
  </si>
  <si>
    <t>Carrière / formation</t>
  </si>
  <si>
    <t>Domaine d'activité</t>
  </si>
  <si>
    <t>Facteurs de motivation et d'expérience</t>
  </si>
  <si>
    <t>Positionnement des produits/services sur le marché</t>
  </si>
  <si>
    <t>Gamme de prix et tarifs</t>
  </si>
  <si>
    <t xml:space="preserve">Réductions et conditions </t>
  </si>
  <si>
    <t>Qualification des tarifs définis</t>
  </si>
  <si>
    <t>Marge en %</t>
  </si>
  <si>
    <t>Total des charges d'exploitation</t>
  </si>
  <si>
    <t>Charges de téléphone (tél., fax, internet, …)</t>
  </si>
  <si>
    <t>Frais de gestion et honoraires juridiques</t>
  </si>
  <si>
    <t>Seuil de rentabilité</t>
  </si>
  <si>
    <t>Chiffre d'affaire mensuel à réaliser</t>
  </si>
  <si>
    <t xml:space="preserve">Objectifs de chiffres d'affaires journalier </t>
  </si>
  <si>
    <t>Salaires de l'exploitant (net)</t>
  </si>
  <si>
    <t>Liquidité minimum d'exploitation</t>
  </si>
  <si>
    <t>Liquidité au bilan initial</t>
  </si>
  <si>
    <t>Trésorerie</t>
  </si>
  <si>
    <t>Assurances de choses, taxes et autres droits</t>
  </si>
  <si>
    <t>Assurance Responsabilité Civile</t>
  </si>
  <si>
    <t>Protection juridique</t>
  </si>
  <si>
    <t>Autres</t>
  </si>
  <si>
    <t>Budget Marketing et publicité</t>
  </si>
  <si>
    <t>Démarchage, suivi et prise par téléphone</t>
  </si>
  <si>
    <t>Budget global (à utiliser si pas de détail)</t>
  </si>
  <si>
    <t>Tout-ménage</t>
  </si>
  <si>
    <t>Taux annuel</t>
  </si>
  <si>
    <t xml:space="preserve">Frais </t>
  </si>
  <si>
    <t>Coût annuel</t>
  </si>
  <si>
    <t>Plan commercial et planification financière</t>
  </si>
  <si>
    <t>1. Informations de base</t>
  </si>
  <si>
    <t>Liquidités disponibles au début de la période</t>
  </si>
  <si>
    <t>Versements de débiteurs au bilan initial</t>
  </si>
  <si>
    <t>Paiement des créanciers au bilan initial</t>
  </si>
  <si>
    <t>Ventes (chiffre d'affaires de la période)</t>
  </si>
  <si>
    <t>Factures clients ouvertes à la fin de la période</t>
  </si>
  <si>
    <t>Achats fournisseurs de la période</t>
  </si>
  <si>
    <t>Factures ouvertes à la fin de la période</t>
  </si>
  <si>
    <t>Dépenses d'investissements durant la période</t>
  </si>
  <si>
    <t>Remboursement des emprunts à long terme</t>
  </si>
  <si>
    <t>Vendredi</t>
  </si>
  <si>
    <t>Samedi</t>
  </si>
  <si>
    <t>Dimanche</t>
  </si>
  <si>
    <t>Total</t>
  </si>
  <si>
    <t>Fonds propres</t>
  </si>
  <si>
    <t>Montant</t>
  </si>
  <si>
    <t>Amortissements</t>
  </si>
  <si>
    <t>Encarts programmes</t>
  </si>
  <si>
    <t>Gadgets publicitaires</t>
  </si>
  <si>
    <t>Site internet</t>
  </si>
  <si>
    <t>Description</t>
  </si>
  <si>
    <t>Nombre de jours par mois</t>
  </si>
  <si>
    <t>Tabelle taux AVS</t>
  </si>
  <si>
    <t>mais inférieur à</t>
  </si>
  <si>
    <t>Supérieur à</t>
  </si>
  <si>
    <t>Salaire annuel ?</t>
  </si>
  <si>
    <t>Capital ?</t>
  </si>
  <si>
    <t>Fr.</t>
  </si>
  <si>
    <t>Tx frais caisse compensation</t>
  </si>
  <si>
    <t>% AVS</t>
  </si>
  <si>
    <t>Cotisation AVS</t>
  </si>
  <si>
    <t>+ Frais de gestion</t>
  </si>
  <si>
    <t>Cotisation AVS Totale</t>
  </si>
  <si>
    <t>Coefficient AVS ou NON</t>
  </si>
  <si>
    <t xml:space="preserve">Cotisation forfaitaire pour tout revenu annuel inférieur à Fr. </t>
  </si>
  <si>
    <t>Déduction s/salaire imposable</t>
  </si>
  <si>
    <t>Revenu imposable ?</t>
  </si>
  <si>
    <t>Tx de déduction CCNC</t>
  </si>
  <si>
    <t>Adresse</t>
  </si>
  <si>
    <t>Flyers</t>
  </si>
  <si>
    <t>Logo + Cartes de visite</t>
  </si>
  <si>
    <t>Radio locale : RTN,…</t>
  </si>
  <si>
    <t>Forme juridique</t>
  </si>
  <si>
    <t>Société à responsabilité limitée</t>
  </si>
  <si>
    <t>Société anonyme</t>
  </si>
  <si>
    <t>Raison sociale</t>
  </si>
  <si>
    <t>Adresse du siège</t>
  </si>
  <si>
    <t>Téléphone mobile</t>
  </si>
  <si>
    <t>Contact email</t>
  </si>
  <si>
    <t>Téléphone fixe</t>
  </si>
  <si>
    <t>Ressources humaines</t>
  </si>
  <si>
    <t>Prénom &amp; Nom</t>
  </si>
  <si>
    <t>Dir. RI o/n</t>
  </si>
  <si>
    <t>Fonction / mission</t>
  </si>
  <si>
    <t>Charges salariales de l'entreprise</t>
  </si>
  <si>
    <t>Produits / prestations</t>
  </si>
  <si>
    <t>Produit / prestation</t>
  </si>
  <si>
    <t>TOTAL DES IMMOBILISATIONS</t>
  </si>
  <si>
    <t>TOTAL DES INVESTISSEMENTS</t>
  </si>
  <si>
    <t>Intérêts</t>
  </si>
  <si>
    <t>Commentaires</t>
  </si>
  <si>
    <t>Annexe 3: Détail des charges d'exploitation (base 12 mois)</t>
  </si>
  <si>
    <t>Source de financement</t>
  </si>
  <si>
    <t>Annexe 1: Compte d'exploitation (base 12 mois)</t>
  </si>
  <si>
    <t>Livraisons de produits et prestations (chiffre d'affaires)</t>
  </si>
  <si>
    <t>Frais de matériel, marchandises et prestations (frais variables)</t>
  </si>
  <si>
    <t>Salaires des collaborateurs (brut)</t>
  </si>
  <si>
    <t xml:space="preserve">Micro Business plan </t>
  </si>
  <si>
    <t>Machines de bureau, informatique, systèmes de communication, mobilier</t>
  </si>
  <si>
    <t>Machines de bureau, systèmes  informatiques, systèmes de communication, mobilier de bureau</t>
  </si>
  <si>
    <t>TOTAL véhicules</t>
  </si>
  <si>
    <t>TOTAL immeubles et terrains</t>
  </si>
  <si>
    <t>TOTAL immobilisations incorporelles</t>
  </si>
  <si>
    <t>Niveau 1</t>
  </si>
  <si>
    <t>Niveau 2</t>
  </si>
  <si>
    <t>% MB</t>
  </si>
  <si>
    <t>C.A. Total</t>
  </si>
  <si>
    <t>% du chiffre d'affaires</t>
  </si>
  <si>
    <t>Niveau de la trésorerie en fin de période</t>
  </si>
  <si>
    <t>Charges énergétiques et liées à la collecte des déchets</t>
  </si>
  <si>
    <t>Charges administratives et informatiques</t>
  </si>
  <si>
    <t>Charges liées à la publicité</t>
  </si>
  <si>
    <t>Charges d'intérêts</t>
  </si>
  <si>
    <t>Résultat d'exploitation</t>
  </si>
  <si>
    <t>Ratios financiers</t>
  </si>
  <si>
    <t>Degré de financement propre</t>
  </si>
  <si>
    <t>Taux d'endettement</t>
  </si>
  <si>
    <t>Ratios de liquidités</t>
  </si>
  <si>
    <t>Degré de liquidité 1 (cash ratio)</t>
  </si>
  <si>
    <t>Degré de liquidité 2 (quick ratio)</t>
  </si>
  <si>
    <t>Degré de liquidité 3 (current ratio)</t>
  </si>
  <si>
    <t>Rendement du capital propre</t>
  </si>
  <si>
    <t>Rentabilité des actifs</t>
  </si>
  <si>
    <t>Créances (clients - débiteurs)</t>
  </si>
  <si>
    <t>Immobilisations incorporelles (brevets, licences, goodwill, frais de fondation)</t>
  </si>
  <si>
    <t>Charges sociales de l'exploitant</t>
  </si>
  <si>
    <t>Salaires des collaborateurs</t>
  </si>
  <si>
    <t>Charges sociales des collaborateurs</t>
  </si>
  <si>
    <t>Marge brute  %</t>
  </si>
  <si>
    <t>Voyages professionnels</t>
  </si>
  <si>
    <t>Frais de transports publics</t>
  </si>
  <si>
    <t>Essence</t>
  </si>
  <si>
    <t>Prix moyen du carburant</t>
  </si>
  <si>
    <t>Total de l'année</t>
  </si>
  <si>
    <t>Consommation moyenne du véhicule / 100kms</t>
  </si>
  <si>
    <t>Frais de déplacements et de voyages</t>
  </si>
  <si>
    <t>AVS, AI, APG obligatoire</t>
  </si>
  <si>
    <t xml:space="preserve">Perte de gains maladie </t>
  </si>
  <si>
    <t>Assurance accident (LAA)</t>
  </si>
  <si>
    <t>Passifs à court terme résultant des livraisons et prestations de services (comptes créanciers/fournisseurs)</t>
  </si>
  <si>
    <t xml:space="preserve">Autres éléments de passif à long terme (prêts des proches ou famille, …) </t>
  </si>
  <si>
    <t>Immobilisations financières (prêts à long terme)</t>
  </si>
  <si>
    <t>Passifs financiers à long terme (dettes de la banque à long terme)</t>
  </si>
  <si>
    <t>Montant</t>
    <phoneticPr fontId="6" type="noConversion"/>
  </si>
  <si>
    <t>Passifs à court terme</t>
  </si>
  <si>
    <t>Total des capitaux étrangers à court terme</t>
  </si>
  <si>
    <t>Capitaux étrangers à long terme</t>
  </si>
  <si>
    <t>Total des capitaux étrangers à long terme</t>
  </si>
  <si>
    <t>Total des fonds propres</t>
  </si>
  <si>
    <t>Total des passifs</t>
  </si>
  <si>
    <t>Actifs immobilisés</t>
  </si>
  <si>
    <t>Total des actifs circulants</t>
  </si>
  <si>
    <t>Actifs circulants</t>
  </si>
  <si>
    <t>Autres charges d’exploitation et représentation</t>
  </si>
  <si>
    <t>Remboursement des autres passifs long terme</t>
  </si>
  <si>
    <t>Etat de la trésorerie à la fin de la période</t>
  </si>
  <si>
    <t>Charges d'exploitation de la période (effet monétaire)</t>
  </si>
  <si>
    <t>Canton</t>
  </si>
  <si>
    <t>NE</t>
  </si>
  <si>
    <t>Cotisation caisse ALFA</t>
  </si>
  <si>
    <t>BE</t>
  </si>
  <si>
    <t>Charges sociales Ind.</t>
  </si>
  <si>
    <t>Délais</t>
  </si>
  <si>
    <t>Encaiss.</t>
  </si>
  <si>
    <t>Paiement</t>
  </si>
  <si>
    <t>Nb jours théoriques de la période base 30j/mois</t>
  </si>
  <si>
    <t>C.A. période</t>
  </si>
  <si>
    <t>F.V. période</t>
  </si>
  <si>
    <t>Débiteurs prév.</t>
  </si>
  <si>
    <t>Fournisseurs prév.</t>
  </si>
  <si>
    <t>Données personnelles</t>
  </si>
  <si>
    <t>Données du projet</t>
  </si>
  <si>
    <t xml:space="preserve">Nombre de mois de travail par an </t>
  </si>
  <si>
    <t>Taux d'intérêts du C/C bancaire</t>
  </si>
  <si>
    <t>Taux d'intérêts passif financier long terme</t>
  </si>
  <si>
    <t>Raison individuelle</t>
  </si>
  <si>
    <t>Société en noms collectif</t>
  </si>
  <si>
    <t>Charges d'intérêts et frais financiers</t>
  </si>
  <si>
    <t>Marge brute d'autofinancement (cash-flow)</t>
  </si>
  <si>
    <t>Simulation seuil de rentabilité</t>
  </si>
  <si>
    <t>Prévision des ventes</t>
  </si>
  <si>
    <t>Oui</t>
  </si>
  <si>
    <t>Non</t>
  </si>
  <si>
    <t>Poids dans le C.A. en %</t>
  </si>
  <si>
    <t>Délai d'encaissement (j)</t>
  </si>
  <si>
    <t>Délai de paiement (j)</t>
  </si>
  <si>
    <t>Importance</t>
  </si>
  <si>
    <t>Cibles visées</t>
  </si>
  <si>
    <t>3. Portrait de l'entreprise</t>
  </si>
  <si>
    <t>4. Produits / prestations</t>
  </si>
  <si>
    <t>5. Cibles de clientèle</t>
  </si>
  <si>
    <t>6. Analyse du marché / concurrence</t>
  </si>
  <si>
    <t>8. Inventaires des immobilisations</t>
  </si>
  <si>
    <t>Annexe 1: Compte d'exploitation base 12 mois</t>
  </si>
  <si>
    <t>Annexe 2: Coûts du financement</t>
  </si>
  <si>
    <t>11. Plan des liquidités prévisionnelles</t>
  </si>
  <si>
    <t>13. Ratios et analyse du projet</t>
  </si>
  <si>
    <t>Remarques</t>
  </si>
  <si>
    <t>2. Résumé du projet</t>
  </si>
  <si>
    <t>6. Marché / concurrence</t>
  </si>
  <si>
    <t>7. Bilan initial</t>
  </si>
  <si>
    <t>8. Inventaire des immobilisations</t>
  </si>
  <si>
    <t>9. Plan des investissements</t>
  </si>
  <si>
    <t>Annexe 2: Plan de financement</t>
  </si>
  <si>
    <t>Annexe 3: Détail des charges d'exploitation</t>
  </si>
  <si>
    <t>10. Compte d'exploitation de la période</t>
  </si>
  <si>
    <t xml:space="preserve">12. Bilan final </t>
  </si>
  <si>
    <t>1. Informations de base du projet</t>
  </si>
  <si>
    <t>Place visée sur le marché</t>
  </si>
  <si>
    <t>Situation des débiteurs et fournisseurs prévisionnels en fin de période</t>
  </si>
  <si>
    <t>TOTAL en fin de période</t>
  </si>
  <si>
    <t>Estimation financières</t>
  </si>
  <si>
    <t>Situation du compte courant en début de période</t>
  </si>
  <si>
    <t>Factures fournisseurs ouvertes en fin de période</t>
  </si>
  <si>
    <t xml:space="preserve">Taux moyen de marge brute </t>
  </si>
  <si>
    <t xml:space="preserve">Situation </t>
  </si>
  <si>
    <t>Initiale</t>
  </si>
  <si>
    <t>Finale</t>
  </si>
  <si>
    <t>Besoin / excédent de liquidités</t>
  </si>
  <si>
    <t>Vue d'ensemble du marché et évolution de celui-ci</t>
  </si>
  <si>
    <t>Approche choisie pour s'imposer sur le marché</t>
  </si>
  <si>
    <t>Forces</t>
  </si>
  <si>
    <t>Faiblesses</t>
  </si>
  <si>
    <t>Type</t>
  </si>
  <si>
    <t>Directe</t>
  </si>
  <si>
    <t>Indirecte</t>
  </si>
  <si>
    <t>Frais de véhicules</t>
  </si>
  <si>
    <t>Frais de leasing</t>
  </si>
  <si>
    <t>Plaques véhicule</t>
  </si>
  <si>
    <t>Entretien des véhicules (services, pneus, …)</t>
  </si>
  <si>
    <t>Nombre de kilomètres professionnels / an</t>
  </si>
  <si>
    <t>Assurance annuelle des véhicules</t>
  </si>
  <si>
    <t>Perte de gains accident</t>
  </si>
  <si>
    <t>Assurance commerce</t>
  </si>
  <si>
    <t>Entretien, réparation, remplacement, crédit-bail, maintenance</t>
  </si>
  <si>
    <t>Passifs financiers à court terme (compte courant bancaire)</t>
  </si>
  <si>
    <t>Mensuel</t>
  </si>
  <si>
    <t>Caractéristiques de la concurrence directe et indirecte</t>
  </si>
  <si>
    <t>Caractéristiques de la cible</t>
  </si>
  <si>
    <t xml:space="preserve">Caisse ALFA </t>
  </si>
  <si>
    <t xml:space="preserve">Date d'élaboration: </t>
  </si>
  <si>
    <t>Associé 1</t>
  </si>
  <si>
    <t>Associé 2</t>
  </si>
  <si>
    <t>Associé 3</t>
  </si>
  <si>
    <t>Pour une SNC - Composition du capital</t>
  </si>
  <si>
    <t>TOTAL du capital</t>
  </si>
  <si>
    <t>Total AVS, AI, APG des exploitants</t>
  </si>
  <si>
    <t>Total Caisse ALFA des exploitants</t>
  </si>
  <si>
    <t>SNC Associé 2</t>
  </si>
  <si>
    <t>RI/SNC Associé 1</t>
  </si>
  <si>
    <t>SNC Associé 3</t>
  </si>
  <si>
    <t>TOTAL Des charges sociales</t>
  </si>
  <si>
    <t>Résumé</t>
  </si>
  <si>
    <t>Forte</t>
  </si>
  <si>
    <t>Moyenne</t>
  </si>
  <si>
    <t>Taux d'intérêts autre passif long terme</t>
  </si>
  <si>
    <t>Charges sociales part employeur</t>
  </si>
  <si>
    <t>Charges sociales part employé</t>
  </si>
  <si>
    <t>Salaire net/an</t>
  </si>
  <si>
    <t>Taux de charges sociales part employeur</t>
  </si>
  <si>
    <t>Taux de charges sociales part employé</t>
  </si>
  <si>
    <t>CS Exp.</t>
  </si>
  <si>
    <t>S.Exp.</t>
  </si>
  <si>
    <t>CS Sal.</t>
  </si>
  <si>
    <t>S.Sal.</t>
  </si>
  <si>
    <t>Partenaires clés</t>
  </si>
  <si>
    <t>Activités clés</t>
  </si>
  <si>
    <t>Relation clients</t>
  </si>
  <si>
    <t>Ressources clés</t>
  </si>
  <si>
    <t>Canaux</t>
  </si>
  <si>
    <t>Structure de coûts</t>
  </si>
  <si>
    <t>Flux de revenus</t>
  </si>
  <si>
    <t xml:space="preserve">Forces </t>
  </si>
  <si>
    <t>Liquidités (caisse, poste, banque)</t>
  </si>
  <si>
    <t>Machines, appareils, outils, équipements de production</t>
  </si>
  <si>
    <t>Livraison de produits et prestations (chiffre d'affaires)</t>
  </si>
  <si>
    <t>Répartition du capital</t>
  </si>
  <si>
    <t>Micro Business plan</t>
  </si>
  <si>
    <t>0. Business Model Canvas</t>
  </si>
  <si>
    <t>Proposition
de valeur</t>
  </si>
  <si>
    <t>Segments
de clientèle</t>
  </si>
  <si>
    <t>Business Model Canvas</t>
  </si>
  <si>
    <t>Horaires</t>
  </si>
  <si>
    <t>Entretien, réparation et maintenance</t>
  </si>
  <si>
    <t>ACTIFS</t>
  </si>
  <si>
    <t>PASSIFS</t>
  </si>
  <si>
    <t>Coût total du financement</t>
  </si>
  <si>
    <t>Contrôle budgétaire de Daniel Robert - période 1.4 au 30.4</t>
  </si>
  <si>
    <t>Montant budgété</t>
  </si>
  <si>
    <t>Montant effectif</t>
  </si>
  <si>
    <t>Ecart</t>
  </si>
  <si>
    <t>Explication</t>
  </si>
  <si>
    <t>Vente livres</t>
  </si>
  <si>
    <t>Coût des livres vendus</t>
  </si>
  <si>
    <t>Prestations fournies</t>
  </si>
  <si>
    <t>Marge dégagée</t>
  </si>
  <si>
    <t>Salaire de l'exploitant</t>
  </si>
  <si>
    <t>Salaire collaborateurs</t>
  </si>
  <si>
    <t>Charges sociales de l'expl.</t>
  </si>
  <si>
    <t>Charges sociales collab.</t>
  </si>
  <si>
    <t>Loyers</t>
  </si>
  <si>
    <t>Intérêts charges</t>
  </si>
  <si>
    <t>Frais véhicules</t>
  </si>
  <si>
    <t>Assurances</t>
  </si>
  <si>
    <t>Frais d'adm. et de gestion</t>
  </si>
  <si>
    <t>Frais et maintenance info</t>
  </si>
  <si>
    <t>Marketing-publicité</t>
  </si>
  <si>
    <t>Autres charges d'expl.</t>
  </si>
  <si>
    <t>Frais de déplacement</t>
  </si>
  <si>
    <t>Pertes sur débiteurs</t>
  </si>
  <si>
    <t>Résultat net</t>
  </si>
  <si>
    <t>2000 Neuchâtel</t>
  </si>
  <si>
    <t>Rapport qualité / prix très compétitif</t>
  </si>
  <si>
    <t>Particuliers</t>
  </si>
  <si>
    <t xml:space="preserve">Moyenne </t>
  </si>
  <si>
    <t xml:space="preserve">Forte </t>
  </si>
  <si>
    <t>Installation diverses</t>
  </si>
  <si>
    <t>Neuch'burger</t>
  </si>
  <si>
    <t>Jean Donald</t>
  </si>
  <si>
    <t>Rue du Port 12</t>
  </si>
  <si>
    <t>xxx</t>
  </si>
  <si>
    <t xml:space="preserve">  </t>
  </si>
  <si>
    <t>Neuchburger Jean Donald</t>
  </si>
  <si>
    <t xml:space="preserve"> </t>
  </si>
  <si>
    <t>http://www.neuchburger.ch</t>
  </si>
  <si>
    <t>jean.donald@bluewin.ch</t>
  </si>
  <si>
    <t xml:space="preserve">Face à la fermeture des restaurants ou au restrictions qui s'imposent, il existe une demande pour la restauration d'entreprises (les cantines d'entreprises sont fermées, les restaurants ont des restrictions/fermetures). Il en va de même pour les touristes visitant la région, ou des particuliers n'ayant pas / plus envie de cuisiner. </t>
  </si>
  <si>
    <t>Expérience confirmée dans le domaines de la restauration
Exploitant très connu sur la place excellent réseau
 Excellent connaissance de la région et des fournisseurs</t>
  </si>
  <si>
    <t xml:space="preserve">Financement d'un véhicule et aménagement en Food-truck
Communication/publicité
Fidélisation de la clientèle par une offre de qualité
</t>
  </si>
  <si>
    <t>Pas d'expérience managériale
Incertitudes liées à la crise</t>
  </si>
  <si>
    <t>Expérience du domaine
Contrat ferme avec des usines
Excellente réputation
Réseau de connsissances</t>
  </si>
  <si>
    <t>Cuisinier, responable de la cuisine/vente</t>
  </si>
  <si>
    <t>Cuisinier avec patente</t>
  </si>
  <si>
    <t>09:00:00-12:00</t>
  </si>
  <si>
    <t>18:00-22:00</t>
  </si>
  <si>
    <t>12:00-22:00</t>
  </si>
  <si>
    <t>Restauration rapide Usines</t>
  </si>
  <si>
    <t>Food-Truck Soirs</t>
  </si>
  <si>
    <t>Repas du soir proposés aux personnes du quartier</t>
  </si>
  <si>
    <t>Hamburgers et menus de qualité, disponibles sur place</t>
  </si>
  <si>
    <t>Food-truck week-end</t>
  </si>
  <si>
    <t>Restauration sur place dans endroits touristiques, fréquentés</t>
  </si>
  <si>
    <t>Alternatives à restaurants traditionnels, à prix attractifs</t>
  </si>
  <si>
    <t>HT</t>
  </si>
  <si>
    <t>Personnel d'usine</t>
  </si>
  <si>
    <t>Touristes</t>
  </si>
  <si>
    <t>Veulent se faire plaisir en dégustant des produits de qualité, sur place</t>
  </si>
  <si>
    <t>Ne désirent pas cuisiner, sont prêts à se déplacer dans le quartier pour acheter un repas chaud.</t>
  </si>
  <si>
    <t>A = Flyer, B = journaux locaux et site internet, C = Informations internes</t>
  </si>
  <si>
    <t>A/B</t>
  </si>
  <si>
    <t xml:space="preserve">Des contacts ont été pris avec 3 dirigeants d'usine qui s'engagent à prendre à leur charge au moins 50 repas par pause de midi. Les menus sont directement facturés à l'usine qui s'en acquittera dans les 30 jours. Pour le reste du marché, le développement d'un site, la distribution de flyers ainsi que des publicités sur la radio locale visent à faire connaître l'activité. 
</t>
  </si>
  <si>
    <t>Restaurants</t>
  </si>
  <si>
    <t>Fast-Foods</t>
  </si>
  <si>
    <t>Autres Food-Truck</t>
  </si>
  <si>
    <t>Carte, structure, historique</t>
  </si>
  <si>
    <t>Passe de mode</t>
  </si>
  <si>
    <t>Références, communication</t>
  </si>
  <si>
    <t>Polémiques, rapport qualité/prix</t>
  </si>
  <si>
    <t>Mobiles innovateurs</t>
  </si>
  <si>
    <t>Parfois amateurs, qualité</t>
  </si>
  <si>
    <t>Devenir une référence dans le marché, acquérir et développer une clientèle fidèle. Idéalement concept à développer par l'acquisition de plusieurs véhicules ou l'octroi de licences.</t>
  </si>
  <si>
    <t>Concept communication, site internet et flyers</t>
  </si>
  <si>
    <t>Véhicule de base (occasion9</t>
  </si>
  <si>
    <t>Aménagement en Food-truck</t>
  </si>
  <si>
    <t>Véhicule</t>
  </si>
  <si>
    <t>Janvier</t>
  </si>
  <si>
    <t>Février</t>
  </si>
  <si>
    <t>Mars</t>
  </si>
  <si>
    <t>Avril</t>
  </si>
  <si>
    <t>Mai</t>
  </si>
  <si>
    <t>Juin</t>
  </si>
  <si>
    <t>Juillet</t>
  </si>
  <si>
    <t>Août</t>
  </si>
  <si>
    <t>Septembre</t>
  </si>
  <si>
    <t>Octobre</t>
  </si>
  <si>
    <t>Novembre</t>
  </si>
  <si>
    <t>Décembre</t>
  </si>
  <si>
    <t>Nb Menus</t>
  </si>
  <si>
    <t>USINES</t>
  </si>
  <si>
    <t>WEEK-END</t>
  </si>
  <si>
    <t>SOIRS</t>
  </si>
  <si>
    <t>Location places payantes</t>
  </si>
  <si>
    <t>Assurances choses, etc</t>
  </si>
  <si>
    <t>Ventes/marge</t>
  </si>
  <si>
    <t xml:space="preserve">CHF </t>
  </si>
  <si>
    <t>Prix moyen menu burger</t>
  </si>
  <si>
    <t>Loyer propre</t>
  </si>
  <si>
    <t>Coût des ingrédients</t>
  </si>
  <si>
    <t>Mage par portion</t>
  </si>
  <si>
    <t>Ass Mal</t>
  </si>
  <si>
    <t>Repas/mobil/vêt</t>
  </si>
  <si>
    <t>Tél. loisirs</t>
  </si>
  <si>
    <t>Pension alim</t>
  </si>
  <si>
    <t>Impôts</t>
  </si>
  <si>
    <t>Pl. parc, local stockage</t>
  </si>
  <si>
    <t>Week-end</t>
  </si>
  <si>
    <t>Mai-Sept/Déc-Mars</t>
  </si>
  <si>
    <t>Mois</t>
  </si>
  <si>
    <t>Stand au bord du lac /hiver piste ski</t>
  </si>
  <si>
    <t>an</t>
  </si>
  <si>
    <t>2 jours semaine</t>
  </si>
  <si>
    <t>nb jours</t>
  </si>
  <si>
    <t>Volume estimé</t>
  </si>
  <si>
    <t>menus</t>
  </si>
  <si>
    <t>Entretien</t>
  </si>
  <si>
    <t>CA</t>
  </si>
  <si>
    <t>Location place (week-end)</t>
  </si>
  <si>
    <t>p jour</t>
  </si>
  <si>
    <t>Soirs semaine</t>
  </si>
  <si>
    <t>Toute l'année</t>
  </si>
  <si>
    <t>Emplacements divers</t>
  </si>
  <si>
    <t>soirs</t>
  </si>
  <si>
    <t>Budget privé  de l'exploitant</t>
  </si>
  <si>
    <t>sur appel en cas de besoin</t>
  </si>
  <si>
    <t>adaptation prix</t>
  </si>
  <si>
    <t>s'est remis en ménage</t>
  </si>
  <si>
    <t>subside</t>
  </si>
  <si>
    <t>TOMBE</t>
  </si>
  <si>
    <t>renégocié</t>
  </si>
  <si>
    <t>3 jours</t>
  </si>
  <si>
    <t>CHF 21.-- le menu</t>
  </si>
  <si>
    <t>CHF 21.- le menu</t>
  </si>
  <si>
    <t>Wendy King</t>
  </si>
  <si>
    <t>Aide cuisine</t>
  </si>
  <si>
    <t>sans</t>
  </si>
  <si>
    <t>Ventes de fast food (hamburgers, frites et boissons) dans un Food-truck, Menus élaborés à partir de produit frais et artisanaux. Emplacements: - devant les usines, sur des sites touristiques (week-end), en dans des quartiers populaires (soir de semaines)</t>
  </si>
  <si>
    <t xml:space="preserve">Face aux grandes enseignes de Fast-Food, beaucoup de clients cherchent à manger de la restauration rapide de qualité et faite à la minute. Le fait de servir de bons hamburgers dans un food-truck, limite les dépenses en location et permet de se rapprocher des clients. Face à la crise du covid, offrir des repas chauds et cuisinés minutes intéressera des clients fidèles ou de passage (sites touristiques). De plus 3 patrons d'entreprises se sont engagés sur un nombre minimal de repas, si Donald vient servir ses repas durant le pause de midi. </t>
  </si>
  <si>
    <t xml:space="preserve">Les mœurs en matière de restauration évoluent. La nouvelle génération et les personnes en emploi ne sont plus intéressés à passer du temps à table et cherche à se nourrir rapidement et au meilleur coût. D'autre part, les enseignes de Fast-Food sont controversées en ce qui concerne l'origine des produits et l'utilisation de processus industriels. La crise du covid et les contraintes imposées aux restaurants et chaines de fast-food est une opportunité pour développer ces modes de restauration alternatifs, qui devraient s'intégrer dans la durée.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</si>
</sst>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 #,##0.00_ ;_ * \-#,##0.00_ ;_ * &quot;-&quot;??_ ;_ @_ "/>
    <numFmt numFmtId="165" formatCode="#,##0.0"/>
    <numFmt numFmtId="166" formatCode="0.0"/>
    <numFmt numFmtId="167" formatCode="_ * #,##0.000_ ;_ * \-#,##0.000_ ;_ * &quot;-&quot;???_ ;_ @_ "/>
    <numFmt numFmtId="168" formatCode="dd/mm/yyyy;@"/>
    <numFmt numFmtId="169" formatCode="0.0%"/>
    <numFmt numFmtId="170" formatCode="0.000"/>
    <numFmt numFmtId="171" formatCode="[$-809]dd\ mmmm\ yyyy;@"/>
    <numFmt numFmtId="172" formatCode="d\ mmmm\ yyyy"/>
    <numFmt numFmtId="173" formatCode="_-* #,##0.00\ _C_H_F_-;\-* #,##0.00\ _C_H_F_-;_-* &quot;-&quot;??\ _C_H_F_-;_-@_-"/>
    <numFmt numFmtId="174" formatCode="0.000%"/>
  </numFmts>
  <fonts count="62">
    <font>
      <sz val="10"/>
      <name val="Arial"/>
    </font>
    <font>
      <sz val="11"/>
      <color theme="1"/>
      <name val="Arial Narrow"/>
      <family val="2"/>
      <scheme val="minor"/>
    </font>
    <font>
      <sz val="11"/>
      <color theme="1"/>
      <name val="Arial Narrow"/>
      <family val="2"/>
      <scheme val="minor"/>
    </font>
    <font>
      <sz val="12"/>
      <color theme="1"/>
      <name val="Arial Narrow"/>
      <family val="2"/>
      <scheme val="minor"/>
    </font>
    <font>
      <sz val="10"/>
      <name val="Arial"/>
      <family val="2"/>
    </font>
    <font>
      <sz val="10"/>
      <name val="Arial"/>
      <family val="2"/>
    </font>
    <font>
      <sz val="8"/>
      <name val="Arial"/>
      <family val="2"/>
    </font>
    <font>
      <sz val="10"/>
      <color indexed="8"/>
      <name val="Arial"/>
      <family val="2"/>
    </font>
    <font>
      <sz val="9"/>
      <name val="Geneva"/>
    </font>
    <font>
      <b/>
      <sz val="14"/>
      <color indexed="9"/>
      <name val="Arial"/>
      <family val="2"/>
    </font>
    <font>
      <b/>
      <sz val="10"/>
      <color indexed="9"/>
      <name val="Arial"/>
      <family val="2"/>
    </font>
    <font>
      <sz val="8"/>
      <color indexed="81"/>
      <name val="Tahoma"/>
      <family val="2"/>
    </font>
    <font>
      <b/>
      <sz val="8"/>
      <color indexed="81"/>
      <name val="Tahoma"/>
      <family val="2"/>
    </font>
    <font>
      <u/>
      <sz val="10"/>
      <color theme="11"/>
      <name val="Arial"/>
      <family val="2"/>
    </font>
    <font>
      <sz val="9"/>
      <color indexed="81"/>
      <name val="Calibri"/>
      <family val="2"/>
    </font>
    <font>
      <sz val="9"/>
      <color indexed="81"/>
      <name val="Arial"/>
      <family val="2"/>
    </font>
    <font>
      <b/>
      <sz val="9"/>
      <color indexed="81"/>
      <name val="Arial"/>
      <family val="2"/>
    </font>
    <font>
      <b/>
      <sz val="14"/>
      <color indexed="9"/>
      <name val="Arial Narrow"/>
      <family val="2"/>
      <scheme val="minor"/>
    </font>
    <font>
      <sz val="10"/>
      <name val="Arial Narrow"/>
      <family val="2"/>
      <scheme val="minor"/>
    </font>
    <font>
      <b/>
      <sz val="11"/>
      <name val="Arial Narrow"/>
      <family val="2"/>
      <scheme val="minor"/>
    </font>
    <font>
      <b/>
      <sz val="10"/>
      <name val="Arial Narrow"/>
      <family val="2"/>
      <scheme val="minor"/>
    </font>
    <font>
      <b/>
      <u/>
      <sz val="10"/>
      <name val="Arial Narrow"/>
      <family val="2"/>
      <scheme val="minor"/>
    </font>
    <font>
      <sz val="12"/>
      <name val="Arial Narrow"/>
      <family val="2"/>
      <scheme val="minor"/>
    </font>
    <font>
      <sz val="26"/>
      <name val="Arial Narrow"/>
      <family val="2"/>
      <scheme val="minor"/>
    </font>
    <font>
      <sz val="50"/>
      <name val="Arial Narrow"/>
      <family val="2"/>
      <scheme val="minor"/>
    </font>
    <font>
      <sz val="18"/>
      <color indexed="9"/>
      <name val="Arial Narrow"/>
      <family val="2"/>
      <scheme val="minor"/>
    </font>
    <font>
      <u/>
      <sz val="14"/>
      <color indexed="13"/>
      <name val="Arial Narrow"/>
      <family val="2"/>
      <scheme val="minor"/>
    </font>
    <font>
      <sz val="16"/>
      <name val="Arial Narrow"/>
      <family val="2"/>
      <scheme val="minor"/>
    </font>
    <font>
      <sz val="12"/>
      <color rgb="FF5A5A5A"/>
      <name val="Arial Narrow"/>
      <family val="2"/>
      <scheme val="minor"/>
    </font>
    <font>
      <sz val="24"/>
      <color rgb="FF5A5A5A"/>
      <name val="Arial Narrow"/>
      <family val="2"/>
      <scheme val="minor"/>
    </font>
    <font>
      <sz val="28"/>
      <color rgb="FF5A5A5A"/>
      <name val="Arial Narrow"/>
      <family val="2"/>
      <scheme val="minor"/>
    </font>
    <font>
      <i/>
      <sz val="12"/>
      <color rgb="FF5A5A5A"/>
      <name val="Arial Narrow"/>
      <family val="2"/>
      <scheme val="minor"/>
    </font>
    <font>
      <i/>
      <sz val="24"/>
      <color rgb="FF5A5A5A"/>
      <name val="Arial Narrow"/>
      <family val="2"/>
      <scheme val="minor"/>
    </font>
    <font>
      <b/>
      <sz val="24"/>
      <color rgb="FF5A5A5A"/>
      <name val="Arial Narrow"/>
      <family val="2"/>
      <scheme val="minor"/>
    </font>
    <font>
      <b/>
      <sz val="18"/>
      <color rgb="FF5A5A5A"/>
      <name val="Arial Narrow"/>
      <family val="2"/>
      <scheme val="minor"/>
    </font>
    <font>
      <sz val="10"/>
      <color indexed="9"/>
      <name val="Arial Narrow"/>
      <family val="2"/>
      <scheme val="minor"/>
    </font>
    <font>
      <sz val="11"/>
      <name val="Arial Narrow"/>
      <family val="2"/>
      <scheme val="minor"/>
    </font>
    <font>
      <u/>
      <sz val="11"/>
      <name val="Arial Narrow"/>
      <family val="2"/>
      <scheme val="minor"/>
    </font>
    <font>
      <sz val="10"/>
      <color indexed="42"/>
      <name val="Arial Narrow"/>
      <family val="2"/>
      <scheme val="minor"/>
    </font>
    <font>
      <sz val="10"/>
      <color indexed="8"/>
      <name val="Arial Narrow"/>
      <family val="2"/>
      <scheme val="minor"/>
    </font>
    <font>
      <i/>
      <sz val="10"/>
      <name val="Arial Narrow"/>
      <family val="2"/>
      <scheme val="minor"/>
    </font>
    <font>
      <sz val="10"/>
      <color indexed="10"/>
      <name val="Arial Narrow"/>
      <family val="2"/>
      <scheme val="minor"/>
    </font>
    <font>
      <sz val="10"/>
      <color theme="0"/>
      <name val="Arial Narrow"/>
      <family val="2"/>
      <scheme val="minor"/>
    </font>
    <font>
      <b/>
      <sz val="11"/>
      <color indexed="9"/>
      <name val="Arial Narrow"/>
      <family val="2"/>
      <scheme val="minor"/>
    </font>
    <font>
      <b/>
      <sz val="10"/>
      <color indexed="59"/>
      <name val="Arial Narrow"/>
      <family val="2"/>
      <scheme val="minor"/>
    </font>
    <font>
      <sz val="10"/>
      <color rgb="FFFF0000"/>
      <name val="Arial Narrow"/>
      <family val="2"/>
      <scheme val="minor"/>
    </font>
    <font>
      <u/>
      <sz val="10"/>
      <color theme="1"/>
      <name val="Arial Narrow"/>
      <family val="2"/>
    </font>
    <font>
      <b/>
      <sz val="14"/>
      <name val="Arial Narrow"/>
      <family val="2"/>
      <scheme val="minor"/>
    </font>
    <font>
      <sz val="9"/>
      <name val="Arial Narrow"/>
      <family val="2"/>
      <scheme val="minor"/>
    </font>
    <font>
      <sz val="10"/>
      <color indexed="47"/>
      <name val="Arial Narrow"/>
      <family val="2"/>
      <scheme val="minor"/>
    </font>
    <font>
      <b/>
      <sz val="10"/>
      <color indexed="9"/>
      <name val="Arial Narrow"/>
      <family val="2"/>
      <scheme val="minor"/>
    </font>
    <font>
      <u/>
      <sz val="10"/>
      <name val="Arial Narrow"/>
      <family val="2"/>
      <scheme val="minor"/>
    </font>
    <font>
      <b/>
      <sz val="10"/>
      <name val="Arial"/>
      <family val="2"/>
    </font>
    <font>
      <i/>
      <sz val="14"/>
      <name val="Arial Narrow"/>
      <family val="2"/>
      <scheme val="minor"/>
    </font>
    <font>
      <i/>
      <sz val="14"/>
      <name val="Arial"/>
      <family val="2"/>
    </font>
    <font>
      <b/>
      <i/>
      <sz val="9"/>
      <name val="Arial"/>
      <family val="2"/>
    </font>
    <font>
      <sz val="9"/>
      <name val="Arial"/>
      <family val="2"/>
    </font>
    <font>
      <sz val="11"/>
      <name val="Arial"/>
      <family val="2"/>
    </font>
    <font>
      <u/>
      <sz val="11"/>
      <name val="Arial"/>
      <family val="2"/>
    </font>
    <font>
      <b/>
      <sz val="10"/>
      <color indexed="8"/>
      <name val="Arial"/>
      <family val="2"/>
    </font>
    <font>
      <sz val="10"/>
      <color rgb="FFFF0000"/>
      <name val="Arial"/>
      <family val="2"/>
    </font>
    <font>
      <sz val="10"/>
      <name val="Arial"/>
    </font>
  </fonts>
  <fills count="13">
    <fill>
      <patternFill patternType="none"/>
    </fill>
    <fill>
      <patternFill patternType="gray125"/>
    </fill>
    <fill>
      <patternFill patternType="solid">
        <fgColor indexed="4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2" tint="-9.9978637043366805E-2"/>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indexed="52"/>
        <bgColor indexed="64"/>
      </patternFill>
    </fill>
    <fill>
      <patternFill patternType="solid">
        <fgColor theme="4" tint="0.59999389629810485"/>
        <bgColor indexed="64"/>
      </patternFill>
    </fill>
  </fills>
  <borders count="63">
    <border>
      <left/>
      <right/>
      <top/>
      <bottom/>
      <diagonal/>
    </border>
    <border>
      <left style="thin">
        <color indexed="53"/>
      </left>
      <right style="thin">
        <color indexed="53"/>
      </right>
      <top style="thin">
        <color indexed="53"/>
      </top>
      <bottom style="thin">
        <color indexed="53"/>
      </bottom>
      <diagonal/>
    </border>
    <border>
      <left/>
      <right style="thin">
        <color indexed="53"/>
      </right>
      <top style="thin">
        <color indexed="53"/>
      </top>
      <bottom style="thin">
        <color indexed="53"/>
      </bottom>
      <diagonal/>
    </border>
    <border>
      <left style="thin">
        <color indexed="52"/>
      </left>
      <right style="thin">
        <color indexed="52"/>
      </right>
      <top style="thin">
        <color indexed="52"/>
      </top>
      <bottom style="thin">
        <color indexed="52"/>
      </bottom>
      <diagonal/>
    </border>
    <border>
      <left style="thin">
        <color indexed="53"/>
      </left>
      <right/>
      <top style="thin">
        <color indexed="53"/>
      </top>
      <bottom style="thin">
        <color indexed="53"/>
      </bottom>
      <diagonal/>
    </border>
    <border>
      <left style="thin">
        <color indexed="53"/>
      </left>
      <right style="thin">
        <color indexed="53"/>
      </right>
      <top/>
      <bottom style="thin">
        <color indexed="53"/>
      </bottom>
      <diagonal/>
    </border>
    <border>
      <left/>
      <right/>
      <top style="thin">
        <color indexed="53"/>
      </top>
      <bottom style="thin">
        <color indexed="53"/>
      </bottom>
      <diagonal/>
    </border>
    <border>
      <left style="thin">
        <color indexed="53"/>
      </left>
      <right/>
      <top/>
      <bottom/>
      <diagonal/>
    </border>
    <border>
      <left style="thin">
        <color indexed="53"/>
      </left>
      <right/>
      <top style="thin">
        <color indexed="53"/>
      </top>
      <bottom/>
      <diagonal/>
    </border>
    <border>
      <left/>
      <right/>
      <top style="thin">
        <color indexed="53"/>
      </top>
      <bottom/>
      <diagonal/>
    </border>
    <border>
      <left/>
      <right style="thin">
        <color indexed="53"/>
      </right>
      <top style="thin">
        <color indexed="53"/>
      </top>
      <bottom/>
      <diagonal/>
    </border>
    <border>
      <left/>
      <right style="thin">
        <color indexed="53"/>
      </right>
      <top/>
      <bottom/>
      <diagonal/>
    </border>
    <border>
      <left/>
      <right/>
      <top/>
      <bottom style="thin">
        <color indexed="53"/>
      </bottom>
      <diagonal/>
    </border>
    <border>
      <left style="thin">
        <color indexed="52"/>
      </left>
      <right/>
      <top style="thin">
        <color indexed="52"/>
      </top>
      <bottom/>
      <diagonal/>
    </border>
    <border>
      <left/>
      <right/>
      <top style="thin">
        <color indexed="52"/>
      </top>
      <bottom/>
      <diagonal/>
    </border>
    <border>
      <left/>
      <right style="thin">
        <color indexed="52"/>
      </right>
      <top style="thin">
        <color indexed="52"/>
      </top>
      <bottom/>
      <diagonal/>
    </border>
    <border>
      <left style="thin">
        <color indexed="52"/>
      </left>
      <right/>
      <top/>
      <bottom style="thin">
        <color indexed="52"/>
      </bottom>
      <diagonal/>
    </border>
    <border>
      <left/>
      <right/>
      <top/>
      <bottom style="thin">
        <color indexed="52"/>
      </bottom>
      <diagonal/>
    </border>
    <border>
      <left/>
      <right style="thin">
        <color indexed="52"/>
      </right>
      <top/>
      <bottom style="thin">
        <color indexed="52"/>
      </bottom>
      <diagonal/>
    </border>
    <border>
      <left style="thin">
        <color indexed="52"/>
      </left>
      <right style="thin">
        <color indexed="52"/>
      </right>
      <top style="thin">
        <color indexed="52"/>
      </top>
      <bottom/>
      <diagonal/>
    </border>
    <border>
      <left style="thin">
        <color indexed="52"/>
      </left>
      <right style="thin">
        <color indexed="52"/>
      </right>
      <top/>
      <bottom style="thin">
        <color indexed="52"/>
      </bottom>
      <diagonal/>
    </border>
    <border>
      <left style="thin">
        <color indexed="52"/>
      </left>
      <right/>
      <top style="thin">
        <color indexed="52"/>
      </top>
      <bottom style="thin">
        <color indexed="52"/>
      </bottom>
      <diagonal/>
    </border>
    <border>
      <left/>
      <right/>
      <top style="thin">
        <color indexed="52"/>
      </top>
      <bottom style="thin">
        <color indexed="52"/>
      </bottom>
      <diagonal/>
    </border>
    <border>
      <left/>
      <right style="thin">
        <color indexed="52"/>
      </right>
      <top style="thin">
        <color indexed="52"/>
      </top>
      <bottom style="thin">
        <color indexed="52"/>
      </bottom>
      <diagonal/>
    </border>
    <border>
      <left style="thin">
        <color indexed="53"/>
      </left>
      <right/>
      <top/>
      <bottom style="thin">
        <color indexed="53"/>
      </bottom>
      <diagonal/>
    </border>
    <border>
      <left/>
      <right style="thin">
        <color indexed="53"/>
      </right>
      <top/>
      <bottom style="thin">
        <color indexed="53"/>
      </bottom>
      <diagonal/>
    </border>
    <border>
      <left style="thin">
        <color indexed="52"/>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rgb="FFC8C1BC"/>
      </bottom>
      <diagonal/>
    </border>
    <border>
      <left style="thin">
        <color rgb="FFC8C1BC"/>
      </left>
      <right style="thin">
        <color rgb="FFC8C1BC"/>
      </right>
      <top style="thin">
        <color rgb="FFC8C1BC"/>
      </top>
      <bottom style="thin">
        <color rgb="FFC8C1BC"/>
      </bottom>
      <diagonal/>
    </border>
    <border>
      <left style="thin">
        <color rgb="FFAAA19A"/>
      </left>
      <right style="thin">
        <color rgb="FFAAA19A"/>
      </right>
      <top style="thin">
        <color rgb="FFAAA19A"/>
      </top>
      <bottom style="thin">
        <color rgb="FFAAA19A"/>
      </bottom>
      <diagonal/>
    </border>
    <border>
      <left style="thin">
        <color rgb="FFC8C1BC"/>
      </left>
      <right style="thin">
        <color rgb="FFC8C1BC"/>
      </right>
      <top style="thin">
        <color rgb="FFC8C1BC"/>
      </top>
      <bottom/>
      <diagonal/>
    </border>
    <border>
      <left style="thin">
        <color rgb="FFC8C1BC"/>
      </left>
      <right style="thin">
        <color rgb="FFC8C1BC"/>
      </right>
      <top/>
      <bottom/>
      <diagonal/>
    </border>
    <border>
      <left style="thin">
        <color rgb="FFC8C1BC"/>
      </left>
      <right style="thin">
        <color rgb="FFC8C1BC"/>
      </right>
      <top/>
      <bottom style="thin">
        <color rgb="FFC8C1BC"/>
      </bottom>
      <diagonal/>
    </border>
    <border>
      <left style="thin">
        <color rgb="FFAAA19A"/>
      </left>
      <right style="thin">
        <color auto="1"/>
      </right>
      <top style="thin">
        <color rgb="FFAAA19A"/>
      </top>
      <bottom style="thin">
        <color auto="1"/>
      </bottom>
      <diagonal/>
    </border>
    <border>
      <left style="thin">
        <color auto="1"/>
      </left>
      <right style="thin">
        <color auto="1"/>
      </right>
      <top style="thin">
        <color rgb="FFAAA19A"/>
      </top>
      <bottom style="thin">
        <color auto="1"/>
      </bottom>
      <diagonal/>
    </border>
    <border>
      <left style="thin">
        <color auto="1"/>
      </left>
      <right style="thin">
        <color rgb="FFAAA19A"/>
      </right>
      <top style="thin">
        <color rgb="FFAAA19A"/>
      </top>
      <bottom style="thin">
        <color auto="1"/>
      </bottom>
      <diagonal/>
    </border>
    <border>
      <left style="thin">
        <color rgb="FFAAA19A"/>
      </left>
      <right style="thin">
        <color auto="1"/>
      </right>
      <top style="thin">
        <color auto="1"/>
      </top>
      <bottom style="thin">
        <color auto="1"/>
      </bottom>
      <diagonal/>
    </border>
    <border>
      <left style="thin">
        <color auto="1"/>
      </left>
      <right style="thin">
        <color rgb="FFAAA19A"/>
      </right>
      <top style="thin">
        <color auto="1"/>
      </top>
      <bottom style="thin">
        <color auto="1"/>
      </bottom>
      <diagonal/>
    </border>
    <border>
      <left style="thin">
        <color rgb="FFAAA19A"/>
      </left>
      <right style="thin">
        <color auto="1"/>
      </right>
      <top style="thin">
        <color auto="1"/>
      </top>
      <bottom style="thin">
        <color rgb="FFAAA19A"/>
      </bottom>
      <diagonal/>
    </border>
    <border>
      <left style="thin">
        <color auto="1"/>
      </left>
      <right style="thin">
        <color auto="1"/>
      </right>
      <top style="thin">
        <color auto="1"/>
      </top>
      <bottom style="thin">
        <color rgb="FFAAA19A"/>
      </bottom>
      <diagonal/>
    </border>
    <border>
      <left style="thin">
        <color auto="1"/>
      </left>
      <right style="thin">
        <color rgb="FFAAA19A"/>
      </right>
      <top style="thin">
        <color auto="1"/>
      </top>
      <bottom style="thin">
        <color rgb="FFAAA19A"/>
      </bottom>
      <diagonal/>
    </border>
    <border>
      <left style="thin">
        <color rgb="FFAAA19A"/>
      </left>
      <right/>
      <top style="thin">
        <color rgb="FFAAA19A"/>
      </top>
      <bottom/>
      <diagonal/>
    </border>
    <border>
      <left/>
      <right/>
      <top style="thin">
        <color rgb="FFAAA19A"/>
      </top>
      <bottom/>
      <diagonal/>
    </border>
    <border>
      <left/>
      <right style="thin">
        <color rgb="FFAAA19A"/>
      </right>
      <top style="thin">
        <color rgb="FFAAA19A"/>
      </top>
      <bottom/>
      <diagonal/>
    </border>
    <border>
      <left style="thin">
        <color rgb="FFAAA19A"/>
      </left>
      <right/>
      <top/>
      <bottom/>
      <diagonal/>
    </border>
    <border>
      <left/>
      <right style="thin">
        <color rgb="FFAAA19A"/>
      </right>
      <top/>
      <bottom/>
      <diagonal/>
    </border>
    <border>
      <left style="thin">
        <color rgb="FFAAA19A"/>
      </left>
      <right/>
      <top/>
      <bottom style="thin">
        <color rgb="FFAAA19A"/>
      </bottom>
      <diagonal/>
    </border>
    <border>
      <left/>
      <right/>
      <top/>
      <bottom style="thin">
        <color rgb="FFAAA19A"/>
      </bottom>
      <diagonal/>
    </border>
    <border>
      <left/>
      <right style="thin">
        <color rgb="FFAAA19A"/>
      </right>
      <top/>
      <bottom style="thin">
        <color rgb="FFAAA19A"/>
      </bottom>
      <diagonal/>
    </border>
    <border>
      <left style="thin">
        <color indexed="53"/>
      </left>
      <right style="thin">
        <color indexed="53"/>
      </right>
      <top style="thin">
        <color indexed="53"/>
      </top>
      <bottom/>
      <diagonal/>
    </border>
    <border>
      <left/>
      <right/>
      <top style="thin">
        <color auto="1"/>
      </top>
      <bottom style="double">
        <color auto="1"/>
      </bottom>
      <diagonal/>
    </border>
    <border>
      <left/>
      <right/>
      <top style="thin">
        <color indexed="9"/>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6">
    <xf numFmtId="0" fontId="0" fillId="0" borderId="0"/>
    <xf numFmtId="0" fontId="46" fillId="0" borderId="0" applyNumberFormat="0" applyFill="0" applyBorder="0" applyAlignment="0" applyProtection="0">
      <alignment vertical="top"/>
      <protection locked="0"/>
    </xf>
    <xf numFmtId="0" fontId="8" fillId="0" borderId="0"/>
    <xf numFmtId="0" fontId="8" fillId="0" borderId="0"/>
    <xf numFmtId="0" fontId="8" fillId="0" borderId="0"/>
    <xf numFmtId="0" fontId="8" fillId="0" borderId="0"/>
    <xf numFmtId="9" fontId="4" fillId="0" borderId="0" applyFont="0" applyFill="0" applyBorder="0" applyAlignment="0" applyProtection="0"/>
    <xf numFmtId="0" fontId="5" fillId="0" borderId="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3" fillId="0" borderId="0"/>
    <xf numFmtId="0" fontId="13" fillId="0" borderId="0" applyNumberFormat="0" applyFill="0" applyBorder="0" applyAlignment="0" applyProtection="0"/>
    <xf numFmtId="0" fontId="19" fillId="0" borderId="36">
      <alignment horizontal="left" vertical="center" wrapText="1"/>
    </xf>
    <xf numFmtId="0" fontId="4" fillId="0" borderId="0"/>
    <xf numFmtId="43"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71">
    <xf numFmtId="0" fontId="0" fillId="0" borderId="0" xfId="0"/>
    <xf numFmtId="0" fontId="7" fillId="0" borderId="0" xfId="5" applyFont="1" applyAlignment="1">
      <alignment vertical="center" wrapText="1"/>
    </xf>
    <xf numFmtId="0" fontId="7" fillId="0" borderId="0" xfId="5" applyFont="1" applyBorder="1" applyAlignment="1">
      <alignment horizontal="left" vertical="center" wrapText="1"/>
    </xf>
    <xf numFmtId="0" fontId="9" fillId="0" borderId="0" xfId="5" applyFont="1" applyFill="1" applyBorder="1" applyAlignment="1">
      <alignment vertical="center" wrapText="1"/>
    </xf>
    <xf numFmtId="0" fontId="18" fillId="0" borderId="0" xfId="0" applyFont="1" applyFill="1" applyProtection="1"/>
    <xf numFmtId="3" fontId="20" fillId="3" borderId="2" xfId="2" applyNumberFormat="1" applyFont="1" applyFill="1" applyBorder="1" applyAlignment="1" applyProtection="1">
      <alignment vertical="center" wrapText="1"/>
    </xf>
    <xf numFmtId="0" fontId="21" fillId="0" borderId="0" xfId="0" applyFont="1" applyFill="1" applyProtection="1">
      <protection hidden="1"/>
    </xf>
    <xf numFmtId="0" fontId="18" fillId="0" borderId="0" xfId="0" applyFont="1" applyFill="1" applyProtection="1">
      <protection hidden="1"/>
    </xf>
    <xf numFmtId="0" fontId="18" fillId="0" borderId="0" xfId="0" applyFont="1" applyFill="1" applyBorder="1" applyProtection="1">
      <protection hidden="1"/>
    </xf>
    <xf numFmtId="164" fontId="18" fillId="0" borderId="0" xfId="0" applyNumberFormat="1" applyFont="1" applyFill="1" applyBorder="1" applyProtection="1">
      <protection hidden="1"/>
    </xf>
    <xf numFmtId="0" fontId="18" fillId="0" borderId="0" xfId="0" quotePrefix="1" applyFont="1" applyFill="1" applyBorder="1" applyProtection="1">
      <protection hidden="1"/>
    </xf>
    <xf numFmtId="167" fontId="18" fillId="0" borderId="0" xfId="0" applyNumberFormat="1" applyFont="1" applyFill="1" applyBorder="1" applyProtection="1">
      <protection hidden="1"/>
    </xf>
    <xf numFmtId="0" fontId="18" fillId="0" borderId="0" xfId="0" applyFont="1" applyFill="1" applyBorder="1" applyProtection="1"/>
    <xf numFmtId="164" fontId="18" fillId="0" borderId="0" xfId="0" applyNumberFormat="1" applyFont="1" applyFill="1" applyProtection="1"/>
    <xf numFmtId="0" fontId="21" fillId="0" borderId="0" xfId="0" applyFont="1" applyFill="1" applyProtection="1"/>
    <xf numFmtId="0" fontId="20" fillId="0" borderId="0" xfId="0" applyFont="1" applyFill="1" applyProtection="1">
      <protection hidden="1"/>
    </xf>
    <xf numFmtId="164" fontId="20" fillId="0" borderId="0" xfId="0" applyNumberFormat="1" applyFont="1" applyFill="1" applyProtection="1"/>
    <xf numFmtId="0" fontId="19" fillId="7" borderId="1" xfId="2" applyFont="1" applyFill="1" applyBorder="1" applyAlignment="1" applyProtection="1">
      <alignment horizontal="center" vertical="center" wrapText="1"/>
    </xf>
    <xf numFmtId="0" fontId="18" fillId="0" borderId="0" xfId="0" applyFont="1"/>
    <xf numFmtId="0" fontId="18" fillId="0" borderId="0" xfId="0" applyFont="1" applyBorder="1"/>
    <xf numFmtId="0" fontId="18" fillId="0" borderId="0" xfId="0" applyFont="1" applyAlignment="1">
      <alignment horizontal="center"/>
    </xf>
    <xf numFmtId="0" fontId="18" fillId="0" borderId="0" xfId="0" applyFont="1" applyProtection="1"/>
    <xf numFmtId="0" fontId="22" fillId="0" borderId="0" xfId="0" applyFont="1" applyAlignment="1" applyProtection="1"/>
    <xf numFmtId="0" fontId="18" fillId="4" borderId="0" xfId="0" applyFont="1" applyFill="1"/>
    <xf numFmtId="0" fontId="27" fillId="4" borderId="0" xfId="0" applyFont="1" applyFill="1"/>
    <xf numFmtId="0" fontId="28" fillId="4" borderId="0" xfId="17" applyFont="1" applyFill="1"/>
    <xf numFmtId="0" fontId="28" fillId="4" borderId="0" xfId="17" applyFont="1" applyFill="1" applyAlignment="1">
      <alignment vertical="center"/>
    </xf>
    <xf numFmtId="0" fontId="31" fillId="4" borderId="0" xfId="17" applyFont="1" applyFill="1" applyAlignment="1">
      <alignment vertical="center"/>
    </xf>
    <xf numFmtId="0" fontId="4" fillId="4" borderId="0" xfId="0" applyFont="1" applyFill="1"/>
    <xf numFmtId="0" fontId="18" fillId="0" borderId="0" xfId="0" applyFont="1" applyFill="1" applyBorder="1"/>
    <xf numFmtId="0" fontId="35" fillId="0" borderId="0" xfId="0" applyFont="1" applyFill="1" applyBorder="1" applyProtection="1">
      <protection hidden="1"/>
    </xf>
    <xf numFmtId="0" fontId="36" fillId="0" borderId="0" xfId="0" applyFont="1" applyFill="1" applyBorder="1"/>
    <xf numFmtId="0" fontId="36" fillId="0" borderId="0" xfId="0" applyFont="1" applyFill="1" applyBorder="1" applyAlignment="1">
      <alignment horizontal="center"/>
    </xf>
    <xf numFmtId="0" fontId="36" fillId="0" borderId="0" xfId="0" applyFont="1" applyFill="1" applyBorder="1" applyAlignment="1" applyProtection="1">
      <alignment horizontal="center"/>
      <protection locked="0"/>
    </xf>
    <xf numFmtId="0" fontId="37" fillId="0" borderId="0" xfId="1" applyFont="1" applyFill="1" applyBorder="1" applyAlignment="1" applyProtection="1">
      <alignment horizontal="center"/>
    </xf>
    <xf numFmtId="0" fontId="36" fillId="0" borderId="0" xfId="0" applyFont="1" applyFill="1" applyBorder="1" applyProtection="1">
      <protection hidden="1"/>
    </xf>
    <xf numFmtId="0" fontId="36" fillId="0" borderId="0" xfId="0" applyFont="1" applyFill="1" applyBorder="1" applyAlignment="1" applyProtection="1">
      <alignment horizontal="center"/>
      <protection hidden="1"/>
    </xf>
    <xf numFmtId="0" fontId="36" fillId="0" borderId="0" xfId="0" applyFont="1" applyFill="1" applyBorder="1" applyAlignment="1" applyProtection="1">
      <alignment horizontal="center"/>
    </xf>
    <xf numFmtId="168" fontId="36" fillId="0" borderId="0" xfId="0" applyNumberFormat="1" applyFont="1" applyFill="1" applyBorder="1" applyAlignment="1" applyProtection="1">
      <alignment horizontal="center"/>
      <protection locked="0"/>
    </xf>
    <xf numFmtId="0" fontId="38" fillId="0" borderId="0" xfId="0" applyFont="1" applyFill="1" applyBorder="1" applyProtection="1">
      <protection hidden="1"/>
    </xf>
    <xf numFmtId="10" fontId="36" fillId="0" borderId="0" xfId="0" applyNumberFormat="1" applyFont="1" applyFill="1" applyBorder="1" applyAlignment="1" applyProtection="1">
      <alignment horizontal="center"/>
      <protection locked="0"/>
    </xf>
    <xf numFmtId="10" fontId="18" fillId="0" borderId="0" xfId="0" applyNumberFormat="1" applyFont="1" applyFill="1" applyBorder="1" applyAlignment="1" applyProtection="1">
      <alignment horizontal="center"/>
      <protection locked="0"/>
    </xf>
    <xf numFmtId="4" fontId="18" fillId="0" borderId="0" xfId="0" applyNumberFormat="1" applyFont="1"/>
    <xf numFmtId="0" fontId="20" fillId="0" borderId="0" xfId="0" applyFont="1" applyFill="1" applyBorder="1" applyProtection="1">
      <protection hidden="1"/>
    </xf>
    <xf numFmtId="4" fontId="20" fillId="0" borderId="0" xfId="0" applyNumberFormat="1" applyFont="1"/>
    <xf numFmtId="1" fontId="36" fillId="0" borderId="0" xfId="0" applyNumberFormat="1" applyFont="1" applyFill="1" applyBorder="1" applyAlignment="1" applyProtection="1">
      <alignment horizontal="center"/>
      <protection locked="0"/>
    </xf>
    <xf numFmtId="0" fontId="40" fillId="0" borderId="0" xfId="0" applyFont="1" applyFill="1" applyBorder="1" applyAlignment="1" applyProtection="1">
      <alignment horizontal="center"/>
      <protection hidden="1"/>
    </xf>
    <xf numFmtId="0" fontId="36" fillId="0" borderId="0" xfId="2" applyFont="1" applyFill="1" applyBorder="1" applyAlignment="1">
      <alignment horizontal="left" vertical="center" wrapText="1"/>
    </xf>
    <xf numFmtId="4" fontId="18" fillId="0" borderId="0" xfId="0" applyNumberFormat="1" applyFont="1" applyFill="1" applyBorder="1" applyProtection="1">
      <protection locked="0" hidden="1"/>
    </xf>
    <xf numFmtId="0" fontId="39" fillId="0" borderId="0" xfId="2" applyFont="1" applyFill="1" applyBorder="1" applyAlignment="1">
      <alignment horizontal="center" vertical="center" wrapText="1"/>
    </xf>
    <xf numFmtId="166" fontId="39" fillId="0" borderId="0" xfId="2" applyNumberFormat="1" applyFont="1" applyFill="1" applyBorder="1" applyAlignment="1">
      <alignment horizontal="center" vertical="center" wrapText="1"/>
    </xf>
    <xf numFmtId="0" fontId="41" fillId="0" borderId="0" xfId="0" applyFont="1"/>
    <xf numFmtId="0" fontId="42" fillId="0" borderId="0" xfId="0" applyFont="1"/>
    <xf numFmtId="0" fontId="42" fillId="0" borderId="0" xfId="0" applyFont="1" applyFill="1" applyBorder="1" applyAlignment="1">
      <alignment horizontal="right" wrapText="1"/>
    </xf>
    <xf numFmtId="0" fontId="18" fillId="0" borderId="1" xfId="0" applyFont="1" applyBorder="1" applyAlignment="1" applyProtection="1">
      <alignment horizontal="center"/>
      <protection locked="0"/>
    </xf>
    <xf numFmtId="0" fontId="18" fillId="0" borderId="1" xfId="0" applyFont="1" applyFill="1" applyBorder="1" applyAlignment="1" applyProtection="1">
      <alignment horizontal="center" wrapText="1"/>
      <protection locked="0"/>
    </xf>
    <xf numFmtId="3" fontId="18" fillId="0" borderId="1" xfId="0" applyNumberFormat="1" applyFont="1" applyBorder="1" applyAlignment="1" applyProtection="1">
      <alignment horizontal="center"/>
      <protection locked="0"/>
    </xf>
    <xf numFmtId="3" fontId="18" fillId="0" borderId="1" xfId="0" applyNumberFormat="1" applyFont="1" applyBorder="1" applyAlignment="1" applyProtection="1">
      <alignment horizontal="center"/>
    </xf>
    <xf numFmtId="3" fontId="20" fillId="3" borderId="2" xfId="2" applyNumberFormat="1" applyFont="1" applyFill="1" applyBorder="1" applyAlignment="1" applyProtection="1">
      <alignment horizontal="center" vertical="center" wrapText="1"/>
    </xf>
    <xf numFmtId="3" fontId="20" fillId="3" borderId="1" xfId="2" applyNumberFormat="1" applyFont="1" applyFill="1" applyBorder="1" applyAlignment="1" applyProtection="1">
      <alignment horizontal="center" vertical="center" wrapText="1"/>
    </xf>
    <xf numFmtId="0" fontId="18" fillId="0" borderId="0" xfId="0" applyFont="1" applyFill="1" applyBorder="1" applyAlignment="1">
      <alignment horizontal="center" wrapText="1"/>
    </xf>
    <xf numFmtId="3" fontId="18" fillId="0" borderId="0" xfId="0" applyNumberFormat="1" applyFont="1" applyAlignment="1">
      <alignment horizontal="center"/>
    </xf>
    <xf numFmtId="0" fontId="19" fillId="0" borderId="0" xfId="2" applyFont="1" applyFill="1" applyBorder="1" applyAlignment="1">
      <alignment vertical="center" wrapText="1"/>
    </xf>
    <xf numFmtId="0" fontId="35" fillId="0" borderId="0" xfId="0" applyFont="1"/>
    <xf numFmtId="3" fontId="18" fillId="7" borderId="1" xfId="2" applyNumberFormat="1" applyFont="1" applyFill="1" applyBorder="1" applyAlignment="1">
      <alignment horizontal="center" vertical="center" wrapText="1"/>
    </xf>
    <xf numFmtId="3" fontId="18" fillId="7" borderId="4" xfId="2" applyNumberFormat="1" applyFont="1" applyFill="1" applyBorder="1" applyAlignment="1">
      <alignment horizontal="center" vertical="center" wrapText="1"/>
    </xf>
    <xf numFmtId="3" fontId="18" fillId="7" borderId="1" xfId="2" applyNumberFormat="1" applyFont="1" applyFill="1" applyBorder="1" applyAlignment="1">
      <alignment horizontal="left" vertical="center" wrapText="1"/>
    </xf>
    <xf numFmtId="0" fontId="18" fillId="7" borderId="1" xfId="2" applyFont="1" applyFill="1" applyBorder="1" applyAlignment="1">
      <alignment horizontal="center" vertical="center" wrapText="1"/>
    </xf>
    <xf numFmtId="0" fontId="18" fillId="7" borderId="1" xfId="2" applyFont="1" applyFill="1" applyBorder="1" applyAlignment="1">
      <alignment horizontal="center" vertical="center" wrapText="1"/>
    </xf>
    <xf numFmtId="3" fontId="20" fillId="0" borderId="0" xfId="2" applyNumberFormat="1" applyFont="1" applyFill="1" applyBorder="1" applyAlignment="1" applyProtection="1">
      <alignment vertical="center" wrapText="1"/>
    </xf>
    <xf numFmtId="0" fontId="18" fillId="0" borderId="0" xfId="0" quotePrefix="1" applyFont="1" applyFill="1" applyBorder="1" applyAlignment="1" applyProtection="1">
      <alignment wrapText="1"/>
    </xf>
    <xf numFmtId="0" fontId="18" fillId="0" borderId="0" xfId="0" applyFont="1" applyFill="1" applyBorder="1" applyAlignment="1" applyProtection="1">
      <alignment wrapText="1"/>
    </xf>
    <xf numFmtId="0" fontId="17" fillId="0" borderId="0" xfId="2" applyFont="1" applyFill="1" applyBorder="1" applyAlignment="1">
      <alignment vertical="center" wrapText="1"/>
    </xf>
    <xf numFmtId="0" fontId="43" fillId="0" borderId="0" xfId="2" applyFont="1" applyFill="1" applyBorder="1" applyAlignment="1">
      <alignment vertical="center" wrapText="1"/>
    </xf>
    <xf numFmtId="166" fontId="18" fillId="0" borderId="1" xfId="0" applyNumberFormat="1" applyFont="1" applyBorder="1" applyProtection="1">
      <protection locked="0"/>
    </xf>
    <xf numFmtId="0" fontId="18" fillId="0" borderId="1" xfId="0" applyFont="1" applyBorder="1" applyProtection="1">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protection locked="0"/>
    </xf>
    <xf numFmtId="0" fontId="18" fillId="0" borderId="0" xfId="0" applyFont="1" applyAlignment="1" applyProtection="1">
      <alignment horizontal="center" vertical="center" wrapText="1"/>
      <protection locked="0"/>
    </xf>
    <xf numFmtId="0" fontId="18" fillId="7" borderId="1" xfId="2" applyFont="1" applyFill="1" applyBorder="1" applyAlignment="1">
      <alignment horizontal="left" vertical="center" wrapText="1"/>
    </xf>
    <xf numFmtId="0" fontId="20" fillId="0" borderId="1" xfId="0" applyFont="1" applyBorder="1" applyAlignment="1" applyProtection="1">
      <alignment horizontal="center" vertical="center" wrapText="1"/>
    </xf>
    <xf numFmtId="0" fontId="20" fillId="0" borderId="1" xfId="0" applyFont="1" applyBorder="1" applyAlignment="1" applyProtection="1">
      <alignment horizontal="center" vertical="center"/>
    </xf>
    <xf numFmtId="0" fontId="45" fillId="0" borderId="0" xfId="0" applyFont="1"/>
    <xf numFmtId="0" fontId="18" fillId="0" borderId="1" xfId="0" applyFont="1" applyBorder="1" applyAlignment="1" applyProtection="1">
      <alignment vertical="center"/>
      <protection locked="0"/>
    </xf>
    <xf numFmtId="3" fontId="18" fillId="6" borderId="1" xfId="2" applyNumberFormat="1" applyFont="1" applyFill="1" applyBorder="1" applyAlignment="1">
      <alignment horizontal="center" vertical="center" wrapText="1"/>
    </xf>
    <xf numFmtId="3" fontId="18" fillId="0" borderId="1" xfId="2" applyNumberFormat="1" applyFont="1" applyFill="1" applyBorder="1" applyAlignment="1" applyProtection="1">
      <alignment horizontal="left" vertical="center" wrapText="1"/>
      <protection locked="0"/>
    </xf>
    <xf numFmtId="3" fontId="18" fillId="0" borderId="1" xfId="2" applyNumberFormat="1" applyFont="1" applyFill="1" applyBorder="1" applyAlignment="1">
      <alignment horizontal="left" vertical="center" wrapText="1"/>
    </xf>
    <xf numFmtId="0" fontId="19" fillId="0" borderId="37" xfId="19" applyFont="1" applyBorder="1" applyAlignment="1">
      <alignment vertical="center" wrapText="1"/>
    </xf>
    <xf numFmtId="0" fontId="19" fillId="0" borderId="37" xfId="19" applyFont="1" applyBorder="1" applyAlignment="1">
      <alignment horizontal="left" vertical="center" wrapText="1"/>
    </xf>
    <xf numFmtId="0" fontId="17" fillId="0" borderId="0" xfId="2" applyFont="1" applyFill="1" applyBorder="1" applyAlignment="1" applyProtection="1">
      <alignment vertical="center" wrapText="1"/>
    </xf>
    <xf numFmtId="0" fontId="47" fillId="0" borderId="0" xfId="2" applyFont="1" applyBorder="1" applyAlignment="1" applyProtection="1">
      <alignment horizontal="left" vertical="center" wrapText="1"/>
    </xf>
    <xf numFmtId="0" fontId="48" fillId="0" borderId="0" xfId="2" applyFont="1" applyBorder="1" applyAlignment="1" applyProtection="1">
      <alignment horizontal="left" vertical="center" wrapText="1"/>
    </xf>
    <xf numFmtId="0" fontId="18" fillId="0" borderId="0" xfId="0" applyFont="1" applyFill="1"/>
    <xf numFmtId="0" fontId="18" fillId="0" borderId="0" xfId="0" applyFont="1" applyBorder="1" applyAlignment="1" applyProtection="1">
      <alignment horizontal="left" vertical="top"/>
      <protection locked="0"/>
    </xf>
    <xf numFmtId="0" fontId="18" fillId="0" borderId="0" xfId="0" applyFont="1" applyBorder="1" applyAlignment="1" applyProtection="1">
      <alignment horizontal="left" vertical="top" wrapText="1"/>
      <protection locked="0"/>
    </xf>
    <xf numFmtId="0" fontId="49" fillId="0" borderId="0" xfId="0" applyFont="1"/>
    <xf numFmtId="0" fontId="18" fillId="0" borderId="0" xfId="0" applyFont="1" applyBorder="1" applyAlignment="1" applyProtection="1">
      <alignment vertical="center"/>
      <protection locked="0"/>
    </xf>
    <xf numFmtId="0" fontId="18" fillId="0" borderId="0" xfId="0" applyFont="1" applyBorder="1" applyAlignment="1" applyProtection="1">
      <alignment horizontal="center" vertical="center"/>
      <protection locked="0"/>
    </xf>
    <xf numFmtId="0" fontId="35" fillId="0" borderId="0" xfId="4" applyFont="1" applyFill="1" applyBorder="1" applyAlignment="1">
      <alignment vertical="center"/>
    </xf>
    <xf numFmtId="0" fontId="18" fillId="0" borderId="1" xfId="4" applyFont="1" applyBorder="1" applyAlignment="1" applyProtection="1">
      <alignment vertical="center"/>
      <protection locked="0"/>
    </xf>
    <xf numFmtId="3" fontId="18" fillId="0" borderId="1" xfId="4" applyNumberFormat="1" applyFont="1" applyBorder="1" applyAlignment="1" applyProtection="1">
      <alignment vertical="center"/>
      <protection locked="0"/>
    </xf>
    <xf numFmtId="169" fontId="18" fillId="0" borderId="1" xfId="6" applyNumberFormat="1" applyFont="1" applyBorder="1" applyAlignment="1" applyProtection="1">
      <alignment vertical="center"/>
    </xf>
    <xf numFmtId="3" fontId="18" fillId="0" borderId="1" xfId="4" applyNumberFormat="1" applyFont="1" applyBorder="1" applyAlignment="1" applyProtection="1">
      <alignment vertical="center"/>
    </xf>
    <xf numFmtId="49" fontId="18" fillId="0" borderId="0" xfId="3" applyNumberFormat="1" applyFont="1" applyAlignment="1" applyProtection="1">
      <alignment horizontal="left" vertical="center" wrapText="1"/>
    </xf>
    <xf numFmtId="0" fontId="18" fillId="0" borderId="0" xfId="3" applyFont="1" applyAlignment="1" applyProtection="1">
      <alignment vertical="center" wrapText="1"/>
    </xf>
    <xf numFmtId="166" fontId="18" fillId="0" borderId="0" xfId="3" applyNumberFormat="1" applyFont="1" applyAlignment="1" applyProtection="1">
      <alignment vertical="center" wrapText="1"/>
    </xf>
    <xf numFmtId="3" fontId="18" fillId="0" borderId="3" xfId="0" applyNumberFormat="1" applyFont="1" applyBorder="1" applyProtection="1"/>
    <xf numFmtId="3" fontId="18" fillId="0" borderId="3" xfId="0" applyNumberFormat="1" applyFont="1" applyBorder="1" applyProtection="1">
      <protection locked="0"/>
    </xf>
    <xf numFmtId="0" fontId="35" fillId="0" borderId="0" xfId="0" applyFont="1" applyProtection="1"/>
    <xf numFmtId="49" fontId="39" fillId="0" borderId="7" xfId="3" applyNumberFormat="1" applyFont="1" applyBorder="1" applyAlignment="1" applyProtection="1">
      <alignment horizontal="left" vertical="center" wrapText="1"/>
    </xf>
    <xf numFmtId="166" fontId="18" fillId="0" borderId="0" xfId="0" applyNumberFormat="1" applyFont="1" applyProtection="1"/>
    <xf numFmtId="3" fontId="39" fillId="0" borderId="0" xfId="3" applyNumberFormat="1" applyFont="1" applyFill="1" applyBorder="1" applyAlignment="1" applyProtection="1">
      <alignment horizontal="right" vertical="center" wrapText="1"/>
    </xf>
    <xf numFmtId="0" fontId="49" fillId="0" borderId="0" xfId="0" applyFont="1" applyProtection="1"/>
    <xf numFmtId="3" fontId="18" fillId="0" borderId="0" xfId="0" applyNumberFormat="1" applyFont="1" applyProtection="1"/>
    <xf numFmtId="3" fontId="18" fillId="0" borderId="1" xfId="0" applyNumberFormat="1" applyFont="1" applyBorder="1" applyProtection="1"/>
    <xf numFmtId="10" fontId="18" fillId="0" borderId="1" xfId="0" applyNumberFormat="1" applyFont="1" applyBorder="1" applyProtection="1"/>
    <xf numFmtId="3" fontId="18" fillId="0" borderId="1" xfId="0" applyNumberFormat="1" applyFont="1" applyBorder="1" applyProtection="1">
      <protection locked="0"/>
    </xf>
    <xf numFmtId="0" fontId="17" fillId="0" borderId="0" xfId="3" applyFont="1" applyFill="1" applyAlignment="1">
      <alignment vertical="center" wrapText="1"/>
    </xf>
    <xf numFmtId="0" fontId="50" fillId="0" borderId="0" xfId="4" applyFont="1" applyFill="1" applyBorder="1" applyAlignment="1">
      <alignment vertical="center" wrapText="1"/>
    </xf>
    <xf numFmtId="0" fontId="18" fillId="0" borderId="3" xfId="0" applyFont="1" applyBorder="1"/>
    <xf numFmtId="3" fontId="18" fillId="0" borderId="21" xfId="0" applyNumberFormat="1" applyFont="1" applyBorder="1"/>
    <xf numFmtId="3" fontId="18" fillId="0" borderId="21" xfId="0" applyNumberFormat="1" applyFont="1" applyBorder="1" applyProtection="1">
      <protection locked="0"/>
    </xf>
    <xf numFmtId="0" fontId="18" fillId="0" borderId="21" xfId="0" applyFont="1" applyBorder="1" applyProtection="1">
      <protection locked="0"/>
    </xf>
    <xf numFmtId="0" fontId="18" fillId="0" borderId="21" xfId="0" applyFont="1" applyBorder="1"/>
    <xf numFmtId="0" fontId="18" fillId="0" borderId="1" xfId="0" applyFont="1" applyBorder="1"/>
    <xf numFmtId="0" fontId="18" fillId="0" borderId="3" xfId="0" applyFont="1" applyBorder="1" applyProtection="1">
      <protection locked="0"/>
    </xf>
    <xf numFmtId="0" fontId="35" fillId="0" borderId="0" xfId="0" applyFont="1" applyFill="1" applyProtection="1"/>
    <xf numFmtId="2" fontId="35" fillId="0" borderId="0" xfId="0" applyNumberFormat="1" applyFont="1" applyFill="1" applyProtection="1"/>
    <xf numFmtId="3" fontId="18" fillId="0" borderId="0" xfId="0" applyNumberFormat="1" applyFont="1"/>
    <xf numFmtId="0" fontId="40" fillId="0" borderId="0" xfId="0" applyFont="1"/>
    <xf numFmtId="0" fontId="20" fillId="9" borderId="1" xfId="2" applyFont="1" applyFill="1" applyBorder="1" applyAlignment="1">
      <alignment horizontal="left" vertical="center" wrapText="1"/>
    </xf>
    <xf numFmtId="0" fontId="18" fillId="9" borderId="1" xfId="2" applyFont="1" applyFill="1" applyBorder="1" applyAlignment="1">
      <alignment horizontal="right" vertical="center" wrapText="1"/>
    </xf>
    <xf numFmtId="0" fontId="36" fillId="0" borderId="0" xfId="0" applyFont="1"/>
    <xf numFmtId="49" fontId="20" fillId="9" borderId="3" xfId="3" applyNumberFormat="1" applyFont="1" applyFill="1" applyBorder="1" applyAlignment="1" applyProtection="1">
      <alignment horizontal="left" vertical="center" wrapText="1"/>
    </xf>
    <xf numFmtId="0" fontId="20" fillId="9" borderId="3" xfId="3" applyFont="1" applyFill="1" applyBorder="1" applyAlignment="1" applyProtection="1">
      <alignment horizontal="right" vertical="center" wrapText="1"/>
    </xf>
    <xf numFmtId="49" fontId="18" fillId="0" borderId="3" xfId="3" applyNumberFormat="1" applyFont="1" applyBorder="1" applyAlignment="1" applyProtection="1">
      <alignment horizontal="left" vertical="center" wrapText="1"/>
    </xf>
    <xf numFmtId="165" fontId="18" fillId="0" borderId="3" xfId="3" applyNumberFormat="1" applyFont="1" applyFill="1" applyBorder="1" applyAlignment="1" applyProtection="1">
      <alignment horizontal="right" vertical="center" wrapText="1"/>
    </xf>
    <xf numFmtId="3" fontId="18" fillId="0" borderId="3" xfId="3" applyNumberFormat="1" applyFont="1" applyFill="1" applyBorder="1" applyAlignment="1" applyProtection="1">
      <alignment horizontal="right" vertical="center" wrapText="1"/>
    </xf>
    <xf numFmtId="49" fontId="20" fillId="6" borderId="3" xfId="3" applyNumberFormat="1" applyFont="1" applyFill="1" applyBorder="1" applyAlignment="1" applyProtection="1">
      <alignment horizontal="left" vertical="center" wrapText="1"/>
    </xf>
    <xf numFmtId="3" fontId="20" fillId="6" borderId="3" xfId="3" applyNumberFormat="1" applyFont="1" applyFill="1" applyBorder="1" applyAlignment="1" applyProtection="1">
      <alignment horizontal="right" vertical="center" wrapText="1"/>
    </xf>
    <xf numFmtId="49" fontId="20" fillId="9" borderId="1" xfId="3" applyNumberFormat="1" applyFont="1" applyFill="1" applyBorder="1" applyAlignment="1" applyProtection="1">
      <alignment horizontal="left" vertical="center" wrapText="1"/>
    </xf>
    <xf numFmtId="49" fontId="20" fillId="9" borderId="1" xfId="3" applyNumberFormat="1" applyFont="1" applyFill="1" applyBorder="1" applyAlignment="1" applyProtection="1">
      <alignment horizontal="right" vertical="center" wrapText="1"/>
    </xf>
    <xf numFmtId="49" fontId="18" fillId="0" borderId="1" xfId="3" applyNumberFormat="1" applyFont="1" applyBorder="1" applyAlignment="1" applyProtection="1">
      <alignment horizontal="left" vertical="center" wrapText="1"/>
    </xf>
    <xf numFmtId="3" fontId="18" fillId="0" borderId="1" xfId="3" applyNumberFormat="1" applyFont="1" applyFill="1" applyBorder="1" applyAlignment="1" applyProtection="1">
      <alignment horizontal="right" vertical="center" wrapText="1"/>
    </xf>
    <xf numFmtId="169" fontId="18" fillId="0" borderId="1" xfId="3" applyNumberFormat="1" applyFont="1" applyBorder="1" applyAlignment="1" applyProtection="1">
      <alignment horizontal="right" vertical="center" wrapText="1"/>
    </xf>
    <xf numFmtId="49" fontId="51" fillId="0" borderId="1" xfId="1" applyNumberFormat="1" applyFont="1" applyBorder="1" applyAlignment="1" applyProtection="1">
      <alignment horizontal="left" vertical="center" wrapText="1"/>
    </xf>
    <xf numFmtId="3" fontId="18" fillId="0" borderId="1" xfId="3" applyNumberFormat="1" applyFont="1" applyFill="1" applyBorder="1" applyAlignment="1" applyProtection="1">
      <alignment horizontal="right" vertical="center" wrapText="1"/>
      <protection locked="0"/>
    </xf>
    <xf numFmtId="49" fontId="20" fillId="6" borderId="1" xfId="3" applyNumberFormat="1" applyFont="1" applyFill="1" applyBorder="1" applyAlignment="1" applyProtection="1">
      <alignment horizontal="left" vertical="center" wrapText="1"/>
    </xf>
    <xf numFmtId="3" fontId="20" fillId="6" borderId="1" xfId="3" applyNumberFormat="1" applyFont="1" applyFill="1" applyBorder="1" applyAlignment="1" applyProtection="1">
      <alignment horizontal="right" vertical="center" wrapText="1"/>
    </xf>
    <xf numFmtId="169" fontId="20" fillId="6" borderId="1" xfId="3" applyNumberFormat="1" applyFont="1" applyFill="1" applyBorder="1" applyAlignment="1" applyProtection="1">
      <alignment horizontal="right" vertical="center" wrapText="1"/>
    </xf>
    <xf numFmtId="49" fontId="20" fillId="9" borderId="1" xfId="3" applyNumberFormat="1" applyFont="1" applyFill="1" applyBorder="1" applyAlignment="1" applyProtection="1">
      <alignment horizontal="center" vertical="center" wrapText="1"/>
    </xf>
    <xf numFmtId="49" fontId="20" fillId="6" borderId="1" xfId="3" applyNumberFormat="1" applyFont="1" applyFill="1" applyBorder="1" applyAlignment="1" applyProtection="1">
      <alignment horizontal="right" vertical="center" wrapText="1"/>
    </xf>
    <xf numFmtId="0" fontId="20" fillId="9" borderId="3" xfId="4" applyFont="1" applyFill="1" applyBorder="1" applyAlignment="1">
      <alignment vertical="center" wrapText="1"/>
    </xf>
    <xf numFmtId="3" fontId="20" fillId="9" borderId="3" xfId="4" applyNumberFormat="1" applyFont="1" applyFill="1" applyBorder="1" applyAlignment="1">
      <alignment vertical="center" wrapText="1"/>
    </xf>
    <xf numFmtId="0" fontId="20" fillId="9" borderId="0" xfId="4" applyFont="1" applyFill="1" applyBorder="1" applyAlignment="1">
      <alignment vertical="center" wrapText="1"/>
    </xf>
    <xf numFmtId="0" fontId="18" fillId="0" borderId="1" xfId="2" applyFont="1" applyFill="1" applyBorder="1" applyAlignment="1">
      <alignment horizontal="left" vertical="center" wrapText="1"/>
    </xf>
    <xf numFmtId="3" fontId="18" fillId="0" borderId="4" xfId="2" applyNumberFormat="1" applyFont="1" applyFill="1" applyBorder="1" applyAlignment="1" applyProtection="1">
      <alignment horizontal="right" vertical="center" wrapText="1"/>
      <protection locked="0"/>
    </xf>
    <xf numFmtId="3" fontId="20" fillId="6" borderId="1" xfId="2" applyNumberFormat="1" applyFont="1" applyFill="1" applyBorder="1" applyAlignment="1" applyProtection="1">
      <alignment horizontal="left" vertical="center" wrapText="1"/>
      <protection hidden="1"/>
    </xf>
    <xf numFmtId="3" fontId="20" fillId="6" borderId="4" xfId="2" applyNumberFormat="1" applyFont="1" applyFill="1" applyBorder="1" applyAlignment="1" applyProtection="1">
      <alignment horizontal="right" vertical="center" wrapText="1"/>
      <protection hidden="1"/>
    </xf>
    <xf numFmtId="3" fontId="20" fillId="6" borderId="3" xfId="3" applyNumberFormat="1" applyFont="1" applyFill="1" applyBorder="1" applyAlignment="1">
      <alignment horizontal="left" vertical="center" wrapText="1"/>
    </xf>
    <xf numFmtId="3" fontId="20" fillId="6" borderId="21" xfId="3" applyNumberFormat="1" applyFont="1" applyFill="1" applyBorder="1" applyAlignment="1" applyProtection="1">
      <alignment horizontal="right" vertical="center" wrapText="1"/>
      <protection locked="0"/>
    </xf>
    <xf numFmtId="165" fontId="18" fillId="0" borderId="1" xfId="3" applyNumberFormat="1" applyFont="1" applyFill="1" applyBorder="1" applyAlignment="1" applyProtection="1">
      <alignment horizontal="right" vertical="center" wrapText="1"/>
    </xf>
    <xf numFmtId="49" fontId="18" fillId="0" borderId="8" xfId="3" applyNumberFormat="1" applyFont="1" applyBorder="1" applyAlignment="1" applyProtection="1">
      <alignment horizontal="left" vertical="center" wrapText="1"/>
    </xf>
    <xf numFmtId="3" fontId="18" fillId="0" borderId="0" xfId="3" applyNumberFormat="1" applyFont="1" applyFill="1" applyBorder="1" applyAlignment="1" applyProtection="1">
      <alignment horizontal="right" vertical="center" wrapText="1"/>
    </xf>
    <xf numFmtId="3" fontId="20" fillId="0" borderId="0" xfId="3" applyNumberFormat="1" applyFont="1" applyFill="1" applyBorder="1" applyAlignment="1" applyProtection="1">
      <alignment horizontal="left" vertical="center" wrapText="1"/>
    </xf>
    <xf numFmtId="3" fontId="20" fillId="0" borderId="0" xfId="3" applyNumberFormat="1" applyFont="1" applyFill="1" applyBorder="1" applyAlignment="1" applyProtection="1">
      <alignment horizontal="right" vertical="center" wrapText="1"/>
    </xf>
    <xf numFmtId="0" fontId="20" fillId="9" borderId="1" xfId="3" applyFont="1" applyFill="1" applyBorder="1" applyAlignment="1" applyProtection="1">
      <alignment horizontal="right" vertical="center" wrapText="1"/>
    </xf>
    <xf numFmtId="3" fontId="20" fillId="6" borderId="1" xfId="3" applyNumberFormat="1" applyFont="1" applyFill="1" applyBorder="1" applyAlignment="1" applyProtection="1">
      <alignment horizontal="left" vertical="center" wrapText="1"/>
    </xf>
    <xf numFmtId="3" fontId="20" fillId="7" borderId="1" xfId="3" applyNumberFormat="1" applyFont="1" applyFill="1" applyBorder="1" applyAlignment="1" applyProtection="1">
      <alignment horizontal="left" vertical="center" wrapText="1"/>
    </xf>
    <xf numFmtId="165" fontId="20" fillId="7" borderId="1" xfId="3" applyNumberFormat="1" applyFont="1" applyFill="1" applyBorder="1" applyAlignment="1" applyProtection="1">
      <alignment horizontal="right" vertical="center" wrapText="1"/>
    </xf>
    <xf numFmtId="3" fontId="20" fillId="7" borderId="1" xfId="3" applyNumberFormat="1" applyFont="1" applyFill="1" applyBorder="1" applyAlignment="1" applyProtection="1">
      <alignment horizontal="right" vertical="center" wrapText="1"/>
    </xf>
    <xf numFmtId="49" fontId="18" fillId="0" borderId="1" xfId="3" applyNumberFormat="1" applyFont="1" applyFill="1" applyBorder="1" applyAlignment="1" applyProtection="1">
      <alignment horizontal="left" vertical="center" wrapText="1"/>
    </xf>
    <xf numFmtId="0" fontId="50" fillId="10" borderId="3" xfId="2" applyFont="1" applyFill="1" applyBorder="1" applyAlignment="1" applyProtection="1">
      <alignment horizontal="left" vertical="center" wrapText="1"/>
    </xf>
    <xf numFmtId="0" fontId="50" fillId="10" borderId="3" xfId="2" applyFont="1" applyFill="1" applyBorder="1" applyAlignment="1" applyProtection="1">
      <alignment horizontal="center" vertical="center" wrapText="1"/>
    </xf>
    <xf numFmtId="0" fontId="20" fillId="9" borderId="3" xfId="2" applyFont="1" applyFill="1" applyBorder="1" applyAlignment="1" applyProtection="1">
      <alignment horizontal="left" vertical="center" wrapText="1"/>
    </xf>
    <xf numFmtId="0" fontId="20" fillId="2" borderId="3" xfId="2" applyFont="1" applyFill="1" applyBorder="1" applyAlignment="1" applyProtection="1">
      <alignment horizontal="left" vertical="center" wrapText="1"/>
    </xf>
    <xf numFmtId="0" fontId="18" fillId="0" borderId="3" xfId="2" applyFont="1" applyBorder="1" applyAlignment="1" applyProtection="1">
      <alignment horizontal="left" vertical="center" wrapText="1"/>
    </xf>
    <xf numFmtId="3" fontId="18" fillId="0" borderId="3" xfId="2" applyNumberFormat="1" applyFont="1" applyBorder="1" applyAlignment="1" applyProtection="1">
      <alignment horizontal="right" vertical="center" wrapText="1"/>
      <protection locked="0"/>
    </xf>
    <xf numFmtId="0" fontId="20" fillId="6" borderId="3" xfId="2" applyFont="1" applyFill="1" applyBorder="1" applyAlignment="1" applyProtection="1">
      <alignment horizontal="left" vertical="center" wrapText="1"/>
    </xf>
    <xf numFmtId="3" fontId="20" fillId="6" borderId="3" xfId="2" applyNumberFormat="1" applyFont="1" applyFill="1" applyBorder="1" applyAlignment="1" applyProtection="1">
      <alignment horizontal="right" vertical="center" wrapText="1"/>
    </xf>
    <xf numFmtId="0" fontId="21" fillId="9" borderId="3" xfId="1" applyFont="1" applyFill="1" applyBorder="1" applyAlignment="1" applyProtection="1">
      <alignment horizontal="left" vertical="center" wrapText="1"/>
    </xf>
    <xf numFmtId="3" fontId="18" fillId="9" borderId="3" xfId="2" applyNumberFormat="1" applyFont="1" applyFill="1" applyBorder="1" applyAlignment="1" applyProtection="1">
      <alignment horizontal="left" vertical="center" wrapText="1"/>
    </xf>
    <xf numFmtId="3" fontId="18" fillId="0" borderId="3" xfId="2" applyNumberFormat="1" applyFont="1" applyBorder="1" applyAlignment="1" applyProtection="1">
      <alignment horizontal="right" vertical="center" wrapText="1"/>
    </xf>
    <xf numFmtId="0" fontId="20" fillId="7" borderId="3" xfId="2" applyFont="1" applyFill="1" applyBorder="1" applyAlignment="1" applyProtection="1">
      <alignment horizontal="left" vertical="center" wrapText="1"/>
    </xf>
    <xf numFmtId="3" fontId="20" fillId="7" borderId="3" xfId="2" applyNumberFormat="1" applyFont="1" applyFill="1" applyBorder="1" applyAlignment="1" applyProtection="1">
      <alignment horizontal="right" vertical="center" wrapText="1"/>
    </xf>
    <xf numFmtId="0" fontId="35" fillId="10" borderId="3" xfId="2" applyFont="1" applyFill="1" applyBorder="1" applyAlignment="1" applyProtection="1">
      <alignment horizontal="left" vertical="center" wrapText="1"/>
    </xf>
    <xf numFmtId="3" fontId="20" fillId="6" borderId="1" xfId="2" applyNumberFormat="1" applyFont="1" applyFill="1" applyBorder="1" applyAlignment="1" applyProtection="1">
      <alignment horizontal="right" vertical="center" wrapText="1"/>
      <protection hidden="1"/>
    </xf>
    <xf numFmtId="0" fontId="20" fillId="7" borderId="1" xfId="4" applyFont="1" applyFill="1" applyBorder="1" applyAlignment="1">
      <alignment vertical="center" wrapText="1"/>
    </xf>
    <xf numFmtId="3" fontId="20" fillId="7" borderId="1" xfId="4" applyNumberFormat="1" applyFont="1" applyFill="1" applyBorder="1" applyAlignment="1">
      <alignment vertical="center" wrapText="1"/>
    </xf>
    <xf numFmtId="0" fontId="18" fillId="0" borderId="5" xfId="2" applyFont="1" applyFill="1" applyBorder="1" applyAlignment="1">
      <alignment horizontal="left" vertical="center" wrapText="1"/>
    </xf>
    <xf numFmtId="3" fontId="18" fillId="0" borderId="5" xfId="2" applyNumberFormat="1" applyFont="1" applyFill="1" applyBorder="1" applyAlignment="1">
      <alignment horizontal="right" vertical="center" wrapText="1"/>
    </xf>
    <xf numFmtId="3" fontId="18" fillId="0" borderId="1" xfId="2" applyNumberFormat="1" applyFont="1" applyFill="1" applyBorder="1" applyAlignment="1">
      <alignment horizontal="right" vertical="center" wrapText="1"/>
    </xf>
    <xf numFmtId="0" fontId="18" fillId="0" borderId="1" xfId="0" applyFont="1" applyFill="1" applyBorder="1" applyAlignment="1">
      <alignment horizontal="left"/>
    </xf>
    <xf numFmtId="3" fontId="18" fillId="0" borderId="1" xfId="0" applyNumberFormat="1" applyFont="1" applyFill="1" applyBorder="1" applyAlignment="1">
      <alignment horizontal="right"/>
    </xf>
    <xf numFmtId="49" fontId="18" fillId="0" borderId="1" xfId="3" applyNumberFormat="1" applyFont="1" applyFill="1" applyBorder="1" applyAlignment="1">
      <alignment horizontal="left" vertical="center" wrapText="1"/>
    </xf>
    <xf numFmtId="3" fontId="18" fillId="0" borderId="1" xfId="3" applyNumberFormat="1" applyFont="1" applyFill="1" applyBorder="1" applyAlignment="1">
      <alignment horizontal="right" vertical="center" wrapText="1"/>
    </xf>
    <xf numFmtId="3" fontId="18" fillId="0" borderId="0" xfId="0" applyNumberFormat="1" applyFont="1" applyFill="1"/>
    <xf numFmtId="3" fontId="18" fillId="0" borderId="1" xfId="0" applyNumberFormat="1" applyFont="1" applyFill="1" applyBorder="1" applyAlignment="1" applyProtection="1">
      <alignment horizontal="right"/>
      <protection locked="0"/>
    </xf>
    <xf numFmtId="49" fontId="20" fillId="6" borderId="1" xfId="3" applyNumberFormat="1" applyFont="1" applyFill="1" applyBorder="1" applyAlignment="1">
      <alignment horizontal="left" vertical="center" wrapText="1"/>
    </xf>
    <xf numFmtId="3" fontId="20" fillId="6" borderId="1" xfId="3" applyNumberFormat="1" applyFont="1" applyFill="1" applyBorder="1" applyAlignment="1">
      <alignment horizontal="right" vertical="center" wrapText="1"/>
    </xf>
    <xf numFmtId="0" fontId="18" fillId="0" borderId="4" xfId="2" applyFont="1" applyFill="1" applyBorder="1" applyAlignment="1">
      <alignment horizontal="left" vertical="center" wrapText="1"/>
    </xf>
    <xf numFmtId="49" fontId="20" fillId="6" borderId="4" xfId="3" applyNumberFormat="1" applyFont="1" applyFill="1" applyBorder="1" applyAlignment="1">
      <alignment horizontal="left" vertical="center" wrapText="1"/>
    </xf>
    <xf numFmtId="0" fontId="18" fillId="6" borderId="38" xfId="0" applyFont="1" applyFill="1" applyBorder="1" applyAlignment="1">
      <alignment horizontal="right"/>
    </xf>
    <xf numFmtId="0" fontId="18" fillId="0" borderId="38" xfId="0" applyFont="1" applyBorder="1"/>
    <xf numFmtId="3" fontId="18" fillId="0" borderId="38" xfId="0" applyNumberFormat="1" applyFont="1" applyBorder="1"/>
    <xf numFmtId="3" fontId="20" fillId="6" borderId="38" xfId="3" applyNumberFormat="1" applyFont="1" applyFill="1" applyBorder="1" applyAlignment="1">
      <alignment horizontal="right" vertical="center" wrapText="1"/>
    </xf>
    <xf numFmtId="49" fontId="20" fillId="6" borderId="38" xfId="3" applyNumberFormat="1" applyFont="1" applyFill="1" applyBorder="1" applyAlignment="1">
      <alignment horizontal="left" vertical="center" wrapText="1"/>
    </xf>
    <xf numFmtId="0" fontId="10" fillId="10" borderId="3" xfId="5" applyFont="1" applyFill="1" applyBorder="1" applyAlignment="1">
      <alignment horizontal="left" vertical="center" wrapText="1"/>
    </xf>
    <xf numFmtId="0" fontId="10" fillId="10" borderId="3" xfId="5" applyFont="1" applyFill="1" applyBorder="1" applyAlignment="1">
      <alignment horizontal="right" vertical="center" wrapText="1"/>
    </xf>
    <xf numFmtId="0" fontId="4" fillId="0" borderId="3" xfId="5" applyFont="1" applyBorder="1" applyAlignment="1">
      <alignment vertical="center" wrapText="1"/>
    </xf>
    <xf numFmtId="169" fontId="52" fillId="0" borderId="3" xfId="5" applyNumberFormat="1" applyFont="1" applyBorder="1" applyAlignment="1">
      <alignment horizontal="right" vertical="center" wrapText="1"/>
    </xf>
    <xf numFmtId="169" fontId="52" fillId="0" borderId="3" xfId="5" applyNumberFormat="1" applyFont="1" applyBorder="1" applyAlignment="1">
      <alignment horizontal="left" vertical="center" wrapText="1"/>
    </xf>
    <xf numFmtId="0" fontId="4" fillId="0" borderId="3" xfId="0" applyFont="1" applyBorder="1"/>
    <xf numFmtId="0" fontId="4" fillId="0" borderId="3" xfId="5" applyFont="1" applyFill="1" applyBorder="1" applyAlignment="1">
      <alignment vertical="center" wrapText="1"/>
    </xf>
    <xf numFmtId="0" fontId="52" fillId="0" borderId="3" xfId="5" applyFont="1" applyFill="1" applyBorder="1" applyAlignment="1">
      <alignment vertical="center" wrapText="1"/>
    </xf>
    <xf numFmtId="0" fontId="52" fillId="9" borderId="3" xfId="5" applyFont="1" applyFill="1" applyBorder="1" applyAlignment="1">
      <alignment horizontal="left" vertical="center" wrapText="1"/>
    </xf>
    <xf numFmtId="0" fontId="4" fillId="9" borderId="3" xfId="5" applyFont="1" applyFill="1" applyBorder="1" applyAlignment="1">
      <alignment horizontal="left" vertical="center" wrapText="1"/>
    </xf>
    <xf numFmtId="0" fontId="18" fillId="0" borderId="1" xfId="0" applyFont="1" applyBorder="1" applyAlignment="1" applyProtection="1">
      <alignment horizontal="center" vertical="center"/>
      <protection locked="0"/>
    </xf>
    <xf numFmtId="14" fontId="22" fillId="0" borderId="0" xfId="0" applyNumberFormat="1" applyFont="1" applyAlignment="1" applyProtection="1">
      <protection locked="0"/>
    </xf>
    <xf numFmtId="0" fontId="18" fillId="0" borderId="0" xfId="20" applyFont="1"/>
    <xf numFmtId="0" fontId="53" fillId="0" borderId="0" xfId="20" applyFont="1" applyBorder="1" applyAlignment="1" applyProtection="1">
      <alignment horizontal="centerContinuous"/>
      <protection locked="0"/>
    </xf>
    <xf numFmtId="0" fontId="18" fillId="0" borderId="0" xfId="20" applyFont="1" applyAlignment="1">
      <alignment horizontal="centerContinuous"/>
    </xf>
    <xf numFmtId="0" fontId="54" fillId="0" borderId="0" xfId="20" applyFont="1" applyBorder="1" applyAlignment="1" applyProtection="1">
      <alignment horizontal="centerContinuous"/>
      <protection locked="0"/>
    </xf>
    <xf numFmtId="0" fontId="4" fillId="0" borderId="0" xfId="20" applyFont="1" applyAlignment="1">
      <alignment horizontal="centerContinuous"/>
    </xf>
    <xf numFmtId="49" fontId="52" fillId="9" borderId="58" xfId="3" applyNumberFormat="1" applyFont="1" applyFill="1" applyBorder="1" applyAlignment="1" applyProtection="1">
      <alignment horizontal="center" vertical="center" wrapText="1"/>
    </xf>
    <xf numFmtId="0" fontId="4" fillId="0" borderId="0" xfId="20" applyFont="1"/>
    <xf numFmtId="0" fontId="55" fillId="0" borderId="0" xfId="20" applyFont="1" applyBorder="1"/>
    <xf numFmtId="0" fontId="4" fillId="0" borderId="0" xfId="20" applyFont="1" applyBorder="1"/>
    <xf numFmtId="4" fontId="4" fillId="0" borderId="0" xfId="20" applyNumberFormat="1" applyFont="1" applyBorder="1"/>
    <xf numFmtId="2" fontId="4" fillId="0" borderId="0" xfId="20" applyNumberFormat="1" applyFont="1" applyBorder="1"/>
    <xf numFmtId="2" fontId="56" fillId="0" borderId="0" xfId="20" applyNumberFormat="1" applyFont="1" applyBorder="1"/>
    <xf numFmtId="4" fontId="18" fillId="0" borderId="0" xfId="20" applyNumberFormat="1" applyFont="1"/>
    <xf numFmtId="0" fontId="55" fillId="0" borderId="59" xfId="20" applyFont="1" applyBorder="1"/>
    <xf numFmtId="0" fontId="4" fillId="0" borderId="59" xfId="20" applyFont="1" applyBorder="1"/>
    <xf numFmtId="4" fontId="4" fillId="4" borderId="59" xfId="20" applyNumberFormat="1" applyFont="1" applyFill="1" applyBorder="1"/>
    <xf numFmtId="4" fontId="4" fillId="0" borderId="59" xfId="20" applyNumberFormat="1" applyFont="1" applyBorder="1"/>
    <xf numFmtId="0" fontId="18" fillId="0" borderId="0" xfId="20" applyFont="1" applyBorder="1"/>
    <xf numFmtId="2" fontId="18" fillId="0" borderId="0" xfId="20" applyNumberFormat="1" applyFont="1"/>
    <xf numFmtId="0" fontId="57" fillId="0" borderId="0" xfId="0" applyFont="1" applyFill="1" applyBorder="1" applyAlignment="1" applyProtection="1">
      <alignment horizontal="center"/>
      <protection locked="0"/>
    </xf>
    <xf numFmtId="0" fontId="46" fillId="0" borderId="0" xfId="1" applyFill="1" applyBorder="1" applyAlignment="1" applyProtection="1">
      <alignment horizontal="center"/>
      <protection locked="0"/>
    </xf>
    <xf numFmtId="0" fontId="58" fillId="0" borderId="0" xfId="1" applyFont="1" applyFill="1" applyBorder="1" applyAlignment="1" applyProtection="1">
      <alignment horizontal="center"/>
      <protection locked="0"/>
    </xf>
    <xf numFmtId="0" fontId="4" fillId="0" borderId="1" xfId="0" applyFont="1" applyBorder="1" applyAlignment="1" applyProtection="1">
      <alignment horizontal="center"/>
      <protection locked="0"/>
    </xf>
    <xf numFmtId="0" fontId="4" fillId="0" borderId="1" xfId="0" applyFont="1" applyFill="1" applyBorder="1" applyAlignment="1" applyProtection="1">
      <alignment horizontal="center" wrapText="1"/>
      <protection locked="0"/>
    </xf>
    <xf numFmtId="3" fontId="59" fillId="11" borderId="1" xfId="2" applyNumberFormat="1" applyFont="1" applyFill="1" applyBorder="1" applyAlignment="1" applyProtection="1">
      <alignment horizontal="left" vertical="center" wrapText="1"/>
      <protection locked="0"/>
    </xf>
    <xf numFmtId="166" fontId="0" fillId="0" borderId="1" xfId="0" applyNumberFormat="1" applyBorder="1" applyProtection="1">
      <protection locked="0"/>
    </xf>
    <xf numFmtId="0" fontId="0" fillId="0" borderId="1" xfId="0" applyBorder="1" applyProtection="1">
      <protection locked="0"/>
    </xf>
    <xf numFmtId="3" fontId="7" fillId="11" borderId="1" xfId="2" applyNumberFormat="1" applyFont="1" applyFill="1" applyBorder="1" applyAlignment="1" applyProtection="1">
      <alignment horizontal="left" vertical="center" wrapText="1"/>
      <protection locked="0"/>
    </xf>
    <xf numFmtId="0" fontId="0" fillId="0" borderId="1" xfId="0"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0" fillId="0" borderId="1" xfId="0" applyBorder="1" applyAlignment="1" applyProtection="1">
      <alignment vertical="center"/>
      <protection locked="0"/>
    </xf>
    <xf numFmtId="0" fontId="0" fillId="0" borderId="1" xfId="0" applyFill="1" applyBorder="1" applyAlignment="1" applyProtection="1">
      <alignment vertical="center"/>
      <protection locked="0"/>
    </xf>
    <xf numFmtId="0" fontId="4" fillId="0" borderId="1" xfId="0" applyFont="1" applyBorder="1" applyProtection="1">
      <protection locked="0"/>
    </xf>
    <xf numFmtId="0" fontId="0" fillId="0" borderId="1" xfId="0" applyBorder="1" applyAlignment="1" applyProtection="1">
      <alignment horizontal="center"/>
      <protection locked="0"/>
    </xf>
    <xf numFmtId="0" fontId="4" fillId="0" borderId="1" xfId="4" applyFont="1" applyBorder="1" applyAlignment="1" applyProtection="1">
      <alignment vertical="center"/>
      <protection locked="0"/>
    </xf>
    <xf numFmtId="3" fontId="4" fillId="0" borderId="1" xfId="4" applyNumberFormat="1" applyFont="1" applyBorder="1" applyAlignment="1" applyProtection="1">
      <alignment vertical="center"/>
      <protection locked="0"/>
    </xf>
    <xf numFmtId="3" fontId="7" fillId="0" borderId="1" xfId="3" applyNumberFormat="1" applyFont="1" applyFill="1" applyBorder="1" applyAlignment="1" applyProtection="1">
      <alignment horizontal="right" vertical="center" wrapText="1"/>
      <protection locked="0"/>
    </xf>
    <xf numFmtId="3" fontId="0" fillId="0" borderId="3" xfId="0" applyNumberFormat="1" applyBorder="1" applyProtection="1">
      <protection locked="0"/>
    </xf>
    <xf numFmtId="3" fontId="0" fillId="0" borderId="4" xfId="0" applyNumberFormat="1" applyBorder="1" applyProtection="1">
      <protection locked="0"/>
    </xf>
    <xf numFmtId="0" fontId="0" fillId="0" borderId="4" xfId="0" applyBorder="1" applyProtection="1">
      <protection locked="0"/>
    </xf>
    <xf numFmtId="3" fontId="0" fillId="0" borderId="21" xfId="0" applyNumberFormat="1" applyBorder="1" applyProtection="1">
      <protection locked="0"/>
    </xf>
    <xf numFmtId="3" fontId="18" fillId="0" borderId="1" xfId="0" applyNumberFormat="1" applyFont="1" applyBorder="1" applyAlignment="1">
      <alignment horizontal="right"/>
    </xf>
    <xf numFmtId="170" fontId="18" fillId="0" borderId="1" xfId="0" applyNumberFormat="1" applyFont="1" applyBorder="1"/>
    <xf numFmtId="3" fontId="18" fillId="0" borderId="1" xfId="0" applyNumberFormat="1" applyFont="1" applyBorder="1"/>
    <xf numFmtId="0" fontId="4" fillId="0" borderId="1" xfId="0" applyFont="1" applyBorder="1" applyAlignment="1" applyProtection="1">
      <alignment horizontal="center"/>
      <protection locked="0"/>
    </xf>
    <xf numFmtId="3" fontId="18" fillId="0" borderId="1" xfId="0" applyNumberFormat="1" applyFont="1" applyBorder="1" applyProtection="1">
      <protection hidden="1"/>
    </xf>
    <xf numFmtId="0" fontId="42" fillId="0" borderId="0" xfId="0" applyFont="1" applyProtection="1"/>
    <xf numFmtId="0" fontId="18" fillId="0" borderId="1" xfId="0" applyFont="1" applyFill="1" applyBorder="1" applyAlignment="1" applyProtection="1">
      <alignment horizontal="center" wrapText="1"/>
      <protection locked="0"/>
    </xf>
    <xf numFmtId="0" fontId="18" fillId="0" borderId="1" xfId="0" applyFont="1" applyBorder="1" applyAlignment="1" applyProtection="1">
      <alignment horizontal="center" vertical="center"/>
      <protection locked="0"/>
    </xf>
    <xf numFmtId="20" fontId="4" fillId="0" borderId="1" xfId="0" applyNumberFormat="1" applyFont="1" applyBorder="1" applyAlignment="1" applyProtection="1">
      <alignment horizontal="center"/>
      <protection locked="0"/>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3" fontId="4" fillId="0" borderId="21" xfId="0" applyNumberFormat="1" applyFont="1" applyBorder="1" applyProtection="1">
      <protection locked="0"/>
    </xf>
    <xf numFmtId="0" fontId="4" fillId="0" borderId="0" xfId="20"/>
    <xf numFmtId="173" fontId="4" fillId="0" borderId="0" xfId="20" applyNumberFormat="1"/>
    <xf numFmtId="0" fontId="52" fillId="0" borderId="0" xfId="20" applyFont="1"/>
    <xf numFmtId="0" fontId="60" fillId="0" borderId="0" xfId="20" applyFont="1"/>
    <xf numFmtId="43" fontId="52" fillId="0" borderId="0" xfId="20" applyNumberFormat="1" applyFont="1"/>
    <xf numFmtId="43" fontId="4" fillId="0" borderId="0" xfId="20" applyNumberFormat="1"/>
    <xf numFmtId="49" fontId="20" fillId="9" borderId="62" xfId="3" applyNumberFormat="1" applyFont="1" applyFill="1" applyBorder="1" applyAlignment="1">
      <alignment horizontal="left" vertical="center" wrapText="1"/>
    </xf>
    <xf numFmtId="174" fontId="0" fillId="0" borderId="0" xfId="24" applyNumberFormat="1" applyFont="1"/>
    <xf numFmtId="173" fontId="4" fillId="12" borderId="0" xfId="20" applyNumberFormat="1" applyFill="1"/>
    <xf numFmtId="10" fontId="0" fillId="0" borderId="0" xfId="24" applyNumberFormat="1" applyFont="1"/>
    <xf numFmtId="43" fontId="0" fillId="0" borderId="0" xfId="25" applyFont="1"/>
    <xf numFmtId="0" fontId="0" fillId="0" borderId="0" xfId="20" applyFont="1"/>
    <xf numFmtId="43" fontId="0" fillId="12" borderId="0" xfId="25" applyFont="1" applyFill="1"/>
    <xf numFmtId="43" fontId="0" fillId="0" borderId="0" xfId="23" applyFont="1"/>
    <xf numFmtId="0" fontId="4" fillId="12" borderId="0" xfId="20" applyFill="1"/>
    <xf numFmtId="49" fontId="20" fillId="4" borderId="61" xfId="3" applyNumberFormat="1" applyFont="1" applyFill="1" applyBorder="1" applyAlignment="1">
      <alignment horizontal="left" vertical="center" wrapText="1"/>
    </xf>
    <xf numFmtId="49" fontId="20" fillId="4" borderId="61" xfId="3" applyNumberFormat="1" applyFont="1" applyFill="1" applyBorder="1" applyAlignment="1">
      <alignment horizontal="center" vertical="center" wrapText="1"/>
    </xf>
    <xf numFmtId="49" fontId="18" fillId="4" borderId="61" xfId="3" applyNumberFormat="1" applyFont="1" applyFill="1" applyBorder="1" applyAlignment="1">
      <alignment horizontal="left" vertical="center" wrapText="1"/>
    </xf>
    <xf numFmtId="43" fontId="61" fillId="4" borderId="61" xfId="23" applyFont="1" applyFill="1" applyBorder="1"/>
    <xf numFmtId="43" fontId="52" fillId="4" borderId="61" xfId="23" applyFont="1" applyFill="1" applyBorder="1" applyAlignment="1">
      <alignment horizontal="center"/>
    </xf>
    <xf numFmtId="43" fontId="52" fillId="4" borderId="61" xfId="23" applyFont="1" applyFill="1" applyBorder="1"/>
    <xf numFmtId="3" fontId="20" fillId="4" borderId="61" xfId="3" applyNumberFormat="1" applyFont="1" applyFill="1" applyBorder="1" applyAlignment="1">
      <alignment horizontal="left" vertical="center" wrapText="1"/>
    </xf>
    <xf numFmtId="9" fontId="61" fillId="4" borderId="61" xfId="24" applyFont="1" applyFill="1" applyBorder="1"/>
    <xf numFmtId="3" fontId="20" fillId="3" borderId="6" xfId="2" applyNumberFormat="1" applyFont="1" applyFill="1" applyBorder="1" applyAlignment="1" applyProtection="1">
      <alignment horizontal="left" vertical="center" wrapText="1"/>
    </xf>
    <xf numFmtId="3" fontId="20" fillId="3" borderId="2" xfId="2" applyNumberFormat="1" applyFont="1" applyFill="1" applyBorder="1" applyAlignment="1" applyProtection="1">
      <alignment horizontal="left" vertical="center" wrapText="1"/>
    </xf>
    <xf numFmtId="0" fontId="17" fillId="8" borderId="4" xfId="2" applyFont="1" applyFill="1" applyBorder="1" applyAlignment="1" applyProtection="1">
      <alignment horizontal="center" vertical="center" wrapText="1"/>
    </xf>
    <xf numFmtId="0" fontId="17" fillId="8" borderId="6" xfId="2" applyFont="1" applyFill="1" applyBorder="1" applyAlignment="1" applyProtection="1">
      <alignment horizontal="center" vertical="center" wrapText="1"/>
    </xf>
    <xf numFmtId="0" fontId="17" fillId="8" borderId="2" xfId="2" applyFont="1" applyFill="1" applyBorder="1" applyAlignment="1" applyProtection="1">
      <alignment horizontal="center" vertical="center" wrapText="1"/>
    </xf>
    <xf numFmtId="0" fontId="18" fillId="0" borderId="0" xfId="0" applyFont="1" applyAlignment="1" applyProtection="1">
      <alignment horizontal="center"/>
    </xf>
    <xf numFmtId="3" fontId="23" fillId="0" borderId="0" xfId="2" applyNumberFormat="1" applyFont="1" applyFill="1" applyBorder="1" applyAlignment="1" applyProtection="1">
      <alignment horizontal="left" vertical="top" wrapText="1"/>
    </xf>
    <xf numFmtId="0" fontId="22" fillId="0" borderId="0" xfId="0" applyFont="1" applyAlignment="1" applyProtection="1">
      <alignment horizontal="right"/>
    </xf>
    <xf numFmtId="0" fontId="24" fillId="0" borderId="0" xfId="0" applyFont="1" applyFill="1" applyAlignment="1" applyProtection="1">
      <alignment horizontal="left" vertical="center"/>
    </xf>
    <xf numFmtId="0" fontId="22" fillId="0" borderId="0" xfId="2" applyFont="1" applyFill="1" applyBorder="1" applyAlignment="1" applyProtection="1">
      <alignment horizontal="left" vertical="center" wrapText="1"/>
    </xf>
    <xf numFmtId="0" fontId="22" fillId="0" borderId="0" xfId="0" applyFont="1" applyAlignment="1" applyProtection="1">
      <alignment horizontal="center"/>
    </xf>
    <xf numFmtId="0" fontId="26" fillId="4" borderId="0" xfId="1" applyFont="1" applyFill="1" applyAlignment="1" applyProtection="1">
      <alignment horizontal="left"/>
    </xf>
    <xf numFmtId="0" fontId="25" fillId="8" borderId="0" xfId="0" applyFont="1" applyFill="1" applyAlignment="1">
      <alignment horizontal="left" vertical="center"/>
    </xf>
    <xf numFmtId="171" fontId="29" fillId="5" borderId="0" xfId="17" applyNumberFormat="1" applyFont="1" applyFill="1" applyBorder="1" applyAlignment="1">
      <alignment horizontal="center" vertical="center"/>
    </xf>
    <xf numFmtId="172" fontId="29" fillId="5" borderId="0" xfId="17" applyNumberFormat="1" applyFont="1" applyFill="1" applyBorder="1" applyAlignment="1">
      <alignment horizontal="center" vertical="center"/>
    </xf>
    <xf numFmtId="0" fontId="30" fillId="4" borderId="0" xfId="17" applyFont="1" applyFill="1" applyAlignment="1">
      <alignment vertical="center"/>
    </xf>
    <xf numFmtId="0" fontId="32" fillId="4" borderId="28" xfId="17" applyFont="1" applyFill="1" applyBorder="1" applyAlignment="1">
      <alignment horizontal="left" vertical="top" indent="1"/>
    </xf>
    <xf numFmtId="0" fontId="33" fillId="4" borderId="29" xfId="17" applyFont="1" applyFill="1" applyBorder="1" applyAlignment="1">
      <alignment horizontal="left" vertical="top" indent="1"/>
    </xf>
    <xf numFmtId="0" fontId="33" fillId="4" borderId="31" xfId="17" applyFont="1" applyFill="1" applyBorder="1" applyAlignment="1">
      <alignment horizontal="left" vertical="top" indent="1"/>
    </xf>
    <xf numFmtId="0" fontId="33" fillId="4" borderId="0" xfId="17" applyFont="1" applyFill="1" applyBorder="1" applyAlignment="1">
      <alignment horizontal="left" vertical="top" indent="1"/>
    </xf>
    <xf numFmtId="0" fontId="32" fillId="4" borderId="28" xfId="17" applyFont="1" applyFill="1" applyBorder="1" applyAlignment="1">
      <alignment horizontal="left" vertical="top" indent="2"/>
    </xf>
    <xf numFmtId="0" fontId="33" fillId="4" borderId="29" xfId="17" applyFont="1" applyFill="1" applyBorder="1" applyAlignment="1">
      <alignment horizontal="left" vertical="top" indent="2"/>
    </xf>
    <xf numFmtId="0" fontId="33" fillId="4" borderId="31" xfId="17" applyFont="1" applyFill="1" applyBorder="1" applyAlignment="1">
      <alignment horizontal="left" vertical="top" indent="2"/>
    </xf>
    <xf numFmtId="0" fontId="33" fillId="4" borderId="0" xfId="17" applyFont="1" applyFill="1" applyBorder="1" applyAlignment="1">
      <alignment horizontal="left" vertical="top" indent="2"/>
    </xf>
    <xf numFmtId="0" fontId="28" fillId="4" borderId="31" xfId="17" applyFont="1" applyFill="1" applyBorder="1" applyAlignment="1">
      <alignment horizontal="left" vertical="top" indent="1"/>
    </xf>
    <xf numFmtId="0" fontId="28" fillId="4" borderId="0" xfId="17" applyFont="1" applyFill="1" applyAlignment="1">
      <alignment horizontal="left" vertical="top" indent="1"/>
    </xf>
    <xf numFmtId="0" fontId="28" fillId="4" borderId="32" xfId="17" applyFont="1" applyFill="1" applyBorder="1" applyAlignment="1">
      <alignment horizontal="left" vertical="top" indent="1"/>
    </xf>
    <xf numFmtId="0" fontId="32" fillId="4" borderId="28" xfId="17" applyFont="1" applyFill="1" applyBorder="1" applyAlignment="1">
      <alignment horizontal="left" vertical="top" wrapText="1" indent="1"/>
    </xf>
    <xf numFmtId="0" fontId="32" fillId="4" borderId="29" xfId="17" applyFont="1" applyFill="1" applyBorder="1" applyAlignment="1">
      <alignment horizontal="left" vertical="top" indent="1"/>
    </xf>
    <xf numFmtId="0" fontId="32" fillId="4" borderId="30" xfId="17" applyFont="1" applyFill="1" applyBorder="1" applyAlignment="1">
      <alignment horizontal="left" vertical="top" indent="1"/>
    </xf>
    <xf numFmtId="0" fontId="32" fillId="4" borderId="31" xfId="17" applyFont="1" applyFill="1" applyBorder="1" applyAlignment="1">
      <alignment horizontal="left" vertical="top" indent="1"/>
    </xf>
    <xf numFmtId="0" fontId="32" fillId="4" borderId="0" xfId="17" applyFont="1" applyFill="1" applyBorder="1" applyAlignment="1">
      <alignment horizontal="left" vertical="top" indent="1"/>
    </xf>
    <xf numFmtId="0" fontId="32" fillId="4" borderId="32" xfId="17" applyFont="1" applyFill="1" applyBorder="1" applyAlignment="1">
      <alignment horizontal="left" vertical="top" indent="1"/>
    </xf>
    <xf numFmtId="0" fontId="28" fillId="4" borderId="0" xfId="17" applyFont="1" applyFill="1" applyBorder="1" applyAlignment="1">
      <alignment horizontal="left" vertical="top" indent="1"/>
    </xf>
    <xf numFmtId="0" fontId="34" fillId="4" borderId="31" xfId="17" applyFont="1" applyFill="1" applyBorder="1" applyAlignment="1">
      <alignment horizontal="left" vertical="center" indent="1"/>
    </xf>
    <xf numFmtId="0" fontId="34" fillId="4" borderId="0" xfId="17" applyFont="1" applyFill="1" applyBorder="1" applyAlignment="1">
      <alignment horizontal="left" vertical="center" indent="1"/>
    </xf>
    <xf numFmtId="0" fontId="34" fillId="4" borderId="32" xfId="17" applyFont="1" applyFill="1" applyBorder="1" applyAlignment="1">
      <alignment horizontal="left" vertical="center" indent="1"/>
    </xf>
    <xf numFmtId="0" fontId="32" fillId="4" borderId="29" xfId="17" applyFont="1" applyFill="1" applyBorder="1" applyAlignment="1">
      <alignment horizontal="left" vertical="center" indent="1"/>
    </xf>
    <xf numFmtId="0" fontId="33" fillId="4" borderId="30" xfId="17" applyFont="1" applyFill="1" applyBorder="1" applyAlignment="1">
      <alignment horizontal="left" vertical="center" indent="1"/>
    </xf>
    <xf numFmtId="0" fontId="33" fillId="4" borderId="0" xfId="17" applyFont="1" applyFill="1" applyBorder="1" applyAlignment="1">
      <alignment horizontal="left" vertical="center" indent="1"/>
    </xf>
    <xf numFmtId="0" fontId="33" fillId="4" borderId="32" xfId="17" applyFont="1" applyFill="1" applyBorder="1" applyAlignment="1">
      <alignment horizontal="left" vertical="center" indent="1"/>
    </xf>
    <xf numFmtId="0" fontId="33" fillId="4" borderId="29" xfId="17" applyFont="1" applyFill="1" applyBorder="1" applyAlignment="1">
      <alignment horizontal="left" vertical="center" indent="1"/>
    </xf>
    <xf numFmtId="0" fontId="28" fillId="4" borderId="0" xfId="17" applyFont="1" applyFill="1" applyAlignment="1"/>
    <xf numFmtId="0" fontId="28" fillId="4" borderId="33" xfId="17" applyFont="1" applyFill="1" applyBorder="1" applyAlignment="1">
      <alignment horizontal="left" vertical="top" indent="1"/>
    </xf>
    <xf numFmtId="0" fontId="28" fillId="4" borderId="34" xfId="17" applyFont="1" applyFill="1" applyBorder="1" applyAlignment="1">
      <alignment horizontal="left" vertical="top" indent="1"/>
    </xf>
    <xf numFmtId="0" fontId="28" fillId="4" borderId="35" xfId="17" applyFont="1" applyFill="1" applyBorder="1" applyAlignment="1">
      <alignment horizontal="left" vertical="top" indent="1"/>
    </xf>
    <xf numFmtId="0" fontId="17" fillId="8" borderId="0" xfId="2" applyFont="1" applyFill="1" applyBorder="1" applyAlignment="1">
      <alignment horizontal="left" vertical="center" wrapText="1"/>
    </xf>
    <xf numFmtId="0" fontId="19" fillId="0" borderId="36" xfId="19">
      <alignment horizontal="left" vertical="center" wrapText="1"/>
    </xf>
    <xf numFmtId="0" fontId="36" fillId="0" borderId="39" xfId="0" applyFont="1" applyBorder="1" applyAlignment="1" applyProtection="1">
      <alignment horizontal="center" vertical="center" wrapText="1"/>
      <protection locked="0"/>
    </xf>
    <xf numFmtId="0" fontId="36" fillId="0" borderId="40" xfId="0" applyFont="1" applyBorder="1" applyAlignment="1" applyProtection="1">
      <alignment horizontal="center" vertical="center"/>
      <protection locked="0"/>
    </xf>
    <xf numFmtId="0" fontId="36" fillId="0" borderId="41" xfId="0" applyFont="1" applyBorder="1" applyAlignment="1" applyProtection="1">
      <alignment horizontal="center" vertical="center"/>
      <protection locked="0"/>
    </xf>
    <xf numFmtId="0" fontId="19" fillId="0" borderId="36" xfId="19" applyFont="1">
      <alignment horizontal="left" vertical="center" wrapText="1"/>
    </xf>
    <xf numFmtId="0" fontId="57" fillId="0" borderId="60" xfId="0" applyFont="1" applyBorder="1" applyAlignment="1" applyProtection="1">
      <alignment vertical="top" wrapText="1"/>
      <protection locked="0"/>
    </xf>
    <xf numFmtId="0" fontId="57" fillId="0" borderId="0" xfId="0" applyFont="1" applyAlignment="1" applyProtection="1">
      <alignment vertical="top" wrapText="1"/>
      <protection locked="0"/>
    </xf>
    <xf numFmtId="0" fontId="57" fillId="0" borderId="60" xfId="0" quotePrefix="1" applyFont="1" applyBorder="1" applyAlignment="1" applyProtection="1">
      <alignment vertical="top" wrapText="1"/>
      <protection locked="0"/>
    </xf>
    <xf numFmtId="0" fontId="57" fillId="0" borderId="60" xfId="0" applyFont="1" applyBorder="1" applyAlignment="1" applyProtection="1">
      <alignment vertical="top"/>
      <protection locked="0"/>
    </xf>
    <xf numFmtId="0" fontId="57" fillId="0" borderId="0" xfId="0" applyFont="1" applyBorder="1" applyAlignment="1" applyProtection="1">
      <alignment vertical="top"/>
      <protection locked="0"/>
    </xf>
    <xf numFmtId="0" fontId="19" fillId="0" borderId="0" xfId="19" applyFont="1" applyBorder="1" applyAlignment="1">
      <alignment horizontal="left" vertical="center" wrapText="1"/>
    </xf>
    <xf numFmtId="0" fontId="18" fillId="7" borderId="1" xfId="2" applyFont="1" applyFill="1" applyBorder="1" applyAlignment="1">
      <alignment horizontal="center" vertical="center" wrapText="1"/>
    </xf>
    <xf numFmtId="0" fontId="18" fillId="0" borderId="1" xfId="0" applyFont="1" applyFill="1" applyBorder="1" applyAlignment="1" applyProtection="1">
      <alignment horizontal="center" wrapText="1"/>
      <protection locked="0"/>
    </xf>
    <xf numFmtId="0" fontId="4" fillId="0" borderId="1" xfId="0" applyFont="1" applyFill="1" applyBorder="1" applyAlignment="1" applyProtection="1">
      <alignment horizontal="center" wrapText="1"/>
      <protection locked="0"/>
    </xf>
    <xf numFmtId="0" fontId="18" fillId="0" borderId="0" xfId="0" applyFont="1" applyFill="1" applyBorder="1" applyAlignment="1">
      <alignment horizontal="center" wrapText="1"/>
    </xf>
    <xf numFmtId="0" fontId="20" fillId="3" borderId="4" xfId="2" applyFont="1" applyFill="1" applyBorder="1" applyAlignment="1">
      <alignment horizontal="left" vertical="center" wrapText="1"/>
    </xf>
    <xf numFmtId="0" fontId="20" fillId="3" borderId="6" xfId="2" applyFont="1" applyFill="1" applyBorder="1" applyAlignment="1">
      <alignment horizontal="left" vertical="center" wrapText="1"/>
    </xf>
    <xf numFmtId="0" fontId="18" fillId="7" borderId="1" xfId="2" applyFont="1" applyFill="1" applyBorder="1" applyAlignment="1">
      <alignment horizontal="left" vertical="center" wrapText="1"/>
    </xf>
    <xf numFmtId="0" fontId="18" fillId="7" borderId="4" xfId="2" applyFont="1" applyFill="1" applyBorder="1" applyAlignment="1">
      <alignment horizontal="left" vertical="center" wrapText="1"/>
    </xf>
    <xf numFmtId="0" fontId="18" fillId="7" borderId="6" xfId="2" applyFont="1" applyFill="1" applyBorder="1" applyAlignment="1">
      <alignment horizontal="left" vertical="center" wrapText="1"/>
    </xf>
    <xf numFmtId="0" fontId="18" fillId="7" borderId="2" xfId="2" applyFont="1" applyFill="1" applyBorder="1" applyAlignment="1">
      <alignment horizontal="left" vertical="center" wrapText="1"/>
    </xf>
    <xf numFmtId="0" fontId="18" fillId="0" borderId="4" xfId="0" applyFont="1" applyBorder="1" applyAlignment="1" applyProtection="1">
      <alignment horizontal="left" vertical="center" wrapText="1"/>
      <protection locked="0"/>
    </xf>
    <xf numFmtId="0" fontId="18" fillId="0" borderId="6" xfId="0" applyFont="1" applyBorder="1" applyAlignment="1" applyProtection="1">
      <alignment horizontal="left" vertical="center" wrapText="1"/>
      <protection locked="0"/>
    </xf>
    <xf numFmtId="0" fontId="18" fillId="0" borderId="2"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8" fillId="0" borderId="1"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19" fillId="0" borderId="0" xfId="19" applyBorder="1">
      <alignment horizontal="left" vertical="center" wrapText="1"/>
    </xf>
    <xf numFmtId="0" fontId="4" fillId="0" borderId="8" xfId="0" applyFont="1"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44" fillId="0" borderId="9" xfId="0" applyFont="1" applyBorder="1" applyAlignment="1">
      <alignment horizontal="left"/>
    </xf>
    <xf numFmtId="0" fontId="4"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3" fontId="18" fillId="7" borderId="1" xfId="2" applyNumberFormat="1" applyFont="1" applyFill="1" applyBorder="1" applyAlignment="1">
      <alignment horizontal="center" vertical="center" wrapText="1"/>
    </xf>
    <xf numFmtId="0" fontId="59" fillId="2" borderId="13" xfId="2" applyFont="1" applyFill="1" applyBorder="1" applyAlignment="1" applyProtection="1">
      <alignment horizontal="center" vertical="center" wrapText="1"/>
      <protection locked="0"/>
    </xf>
    <xf numFmtId="0" fontId="59" fillId="2" borderId="14" xfId="2" applyFont="1" applyFill="1" applyBorder="1" applyAlignment="1" applyProtection="1">
      <alignment horizontal="center" vertical="center" wrapText="1"/>
      <protection locked="0"/>
    </xf>
    <xf numFmtId="0" fontId="59" fillId="2" borderId="15" xfId="2" applyFont="1" applyFill="1" applyBorder="1" applyAlignment="1" applyProtection="1">
      <alignment horizontal="center" vertical="center" wrapText="1"/>
      <protection locked="0"/>
    </xf>
    <xf numFmtId="0" fontId="59" fillId="2" borderId="16" xfId="2" applyFont="1" applyFill="1" applyBorder="1" applyAlignment="1" applyProtection="1">
      <alignment horizontal="center" vertical="center" wrapText="1"/>
      <protection locked="0"/>
    </xf>
    <xf numFmtId="0" fontId="59" fillId="2" borderId="17" xfId="2" applyFont="1" applyFill="1" applyBorder="1" applyAlignment="1" applyProtection="1">
      <alignment horizontal="center" vertical="center" wrapText="1"/>
      <protection locked="0"/>
    </xf>
    <xf numFmtId="0" fontId="59" fillId="2" borderId="18" xfId="2" applyFont="1" applyFill="1" applyBorder="1" applyAlignment="1" applyProtection="1">
      <alignment horizontal="center" vertical="center" wrapText="1"/>
      <protection locked="0"/>
    </xf>
    <xf numFmtId="0" fontId="18" fillId="7" borderId="19" xfId="2" applyFont="1" applyFill="1" applyBorder="1" applyAlignment="1">
      <alignment horizontal="left" vertical="center" wrapText="1"/>
    </xf>
    <xf numFmtId="0" fontId="18" fillId="7" borderId="20" xfId="2" applyFont="1" applyFill="1" applyBorder="1" applyAlignment="1">
      <alignment horizontal="left" vertical="center" wrapText="1"/>
    </xf>
    <xf numFmtId="0" fontId="0" fillId="0" borderId="7"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25" xfId="0" applyBorder="1" applyAlignment="1" applyProtection="1">
      <alignment horizontal="left" vertical="top"/>
      <protection locked="0"/>
    </xf>
    <xf numFmtId="0" fontId="17" fillId="8" borderId="0" xfId="2" applyFont="1" applyFill="1" applyBorder="1" applyAlignment="1" applyProtection="1">
      <alignment horizontal="left" vertical="center" wrapText="1"/>
    </xf>
    <xf numFmtId="0" fontId="17" fillId="8" borderId="4" xfId="4" applyFont="1" applyFill="1" applyBorder="1" applyAlignment="1">
      <alignment horizontal="left" vertical="center"/>
    </xf>
    <xf numFmtId="0" fontId="17" fillId="8" borderId="6" xfId="4" applyFont="1" applyFill="1" applyBorder="1" applyAlignment="1">
      <alignment horizontal="left" vertical="center"/>
    </xf>
    <xf numFmtId="0" fontId="17" fillId="8" borderId="2" xfId="4" applyFont="1" applyFill="1" applyBorder="1" applyAlignment="1">
      <alignment horizontal="left" vertical="center"/>
    </xf>
    <xf numFmtId="3" fontId="18" fillId="0" borderId="3" xfId="0" applyNumberFormat="1" applyFont="1" applyBorder="1" applyAlignment="1" applyProtection="1">
      <alignment horizontal="right"/>
    </xf>
    <xf numFmtId="0" fontId="18" fillId="7" borderId="0" xfId="0" applyFont="1" applyFill="1" applyAlignment="1" applyProtection="1">
      <alignment horizontal="center" vertical="center"/>
      <protection locked="0"/>
    </xf>
    <xf numFmtId="0" fontId="17" fillId="8" borderId="0" xfId="3" applyFont="1" applyFill="1" applyAlignment="1" applyProtection="1">
      <alignment horizontal="left" vertical="center" wrapText="1"/>
    </xf>
    <xf numFmtId="166" fontId="20" fillId="9" borderId="3" xfId="3" applyNumberFormat="1" applyFont="1" applyFill="1" applyBorder="1" applyAlignment="1" applyProtection="1">
      <alignment horizontal="right" vertical="center" wrapText="1"/>
    </xf>
    <xf numFmtId="3" fontId="18" fillId="0" borderId="3" xfId="0" applyNumberFormat="1" applyFont="1" applyBorder="1" applyAlignment="1" applyProtection="1">
      <alignment horizontal="right"/>
      <protection locked="0"/>
    </xf>
    <xf numFmtId="165" fontId="18" fillId="0" borderId="3" xfId="3" applyNumberFormat="1" applyFont="1" applyFill="1" applyBorder="1" applyAlignment="1" applyProtection="1">
      <alignment horizontal="right" vertical="center" wrapText="1"/>
    </xf>
    <xf numFmtId="3" fontId="20" fillId="6" borderId="3" xfId="3" applyNumberFormat="1" applyFont="1" applyFill="1" applyBorder="1" applyAlignment="1" applyProtection="1">
      <alignment horizontal="right" vertical="center" wrapText="1"/>
    </xf>
    <xf numFmtId="166" fontId="18" fillId="0" borderId="3" xfId="0" applyNumberFormat="1" applyFont="1" applyBorder="1" applyAlignment="1" applyProtection="1">
      <alignment horizontal="right"/>
    </xf>
    <xf numFmtId="49" fontId="20" fillId="6" borderId="1" xfId="3" applyNumberFormat="1" applyFont="1" applyFill="1" applyBorder="1" applyAlignment="1" applyProtection="1">
      <alignment horizontal="left" vertical="center" wrapText="1"/>
    </xf>
    <xf numFmtId="49" fontId="20" fillId="9" borderId="1" xfId="3" applyNumberFormat="1" applyFont="1" applyFill="1" applyBorder="1" applyAlignment="1" applyProtection="1">
      <alignment horizontal="left" vertical="center" wrapText="1"/>
    </xf>
    <xf numFmtId="0" fontId="18" fillId="0" borderId="1" xfId="0" applyFont="1" applyBorder="1" applyAlignment="1" applyProtection="1">
      <alignment horizontal="left" vertical="top"/>
    </xf>
    <xf numFmtId="0" fontId="18" fillId="0" borderId="50" xfId="0" applyFont="1" applyFill="1" applyBorder="1" applyAlignment="1">
      <alignment vertical="top"/>
    </xf>
    <xf numFmtId="0" fontId="18" fillId="0" borderId="51" xfId="0" applyFont="1" applyFill="1" applyBorder="1" applyAlignment="1">
      <alignment vertical="top"/>
    </xf>
    <xf numFmtId="0" fontId="18" fillId="0" borderId="52" xfId="0" applyFont="1" applyFill="1" applyBorder="1" applyAlignment="1">
      <alignment vertical="top"/>
    </xf>
    <xf numFmtId="0" fontId="18" fillId="0" borderId="53" xfId="0" applyFont="1" applyFill="1" applyBorder="1" applyAlignment="1">
      <alignment vertical="top"/>
    </xf>
    <xf numFmtId="0" fontId="18" fillId="0" borderId="0" xfId="0" applyFont="1" applyFill="1" applyBorder="1" applyAlignment="1">
      <alignment vertical="top"/>
    </xf>
    <xf numFmtId="0" fontId="18" fillId="0" borderId="54" xfId="0" applyFont="1" applyFill="1" applyBorder="1" applyAlignment="1">
      <alignment vertical="top"/>
    </xf>
    <xf numFmtId="0" fontId="18" fillId="0" borderId="55" xfId="0" applyFont="1" applyFill="1" applyBorder="1" applyAlignment="1">
      <alignment vertical="top"/>
    </xf>
    <xf numFmtId="0" fontId="18" fillId="0" borderId="56" xfId="0" applyFont="1" applyFill="1" applyBorder="1" applyAlignment="1">
      <alignment vertical="top"/>
    </xf>
    <xf numFmtId="0" fontId="18" fillId="0" borderId="57" xfId="0" applyFont="1" applyFill="1" applyBorder="1" applyAlignment="1">
      <alignment vertical="top"/>
    </xf>
    <xf numFmtId="0" fontId="18" fillId="0" borderId="50" xfId="0" applyFont="1" applyBorder="1" applyAlignment="1">
      <alignment vertical="top"/>
    </xf>
    <xf numFmtId="0" fontId="18" fillId="0" borderId="51" xfId="0" applyFont="1" applyBorder="1" applyAlignment="1">
      <alignment vertical="top"/>
    </xf>
    <xf numFmtId="0" fontId="18" fillId="0" borderId="52" xfId="0" applyFont="1" applyBorder="1" applyAlignment="1">
      <alignment vertical="top"/>
    </xf>
    <xf numFmtId="0" fontId="18" fillId="0" borderId="53" xfId="0" applyFont="1" applyBorder="1" applyAlignment="1">
      <alignment vertical="top"/>
    </xf>
    <xf numFmtId="0" fontId="18" fillId="0" borderId="0" xfId="0" applyFont="1" applyBorder="1" applyAlignment="1">
      <alignment vertical="top"/>
    </xf>
    <xf numFmtId="0" fontId="18" fillId="0" borderId="54" xfId="0" applyFont="1" applyBorder="1" applyAlignment="1">
      <alignment vertical="top"/>
    </xf>
    <xf numFmtId="0" fontId="18" fillId="0" borderId="55" xfId="0" applyFont="1" applyBorder="1" applyAlignment="1">
      <alignment vertical="top"/>
    </xf>
    <xf numFmtId="0" fontId="18" fillId="0" borderId="56" xfId="0" applyFont="1" applyBorder="1" applyAlignment="1">
      <alignment vertical="top"/>
    </xf>
    <xf numFmtId="0" fontId="18" fillId="0" borderId="57" xfId="0" applyFont="1" applyBorder="1" applyAlignment="1">
      <alignment vertical="top"/>
    </xf>
    <xf numFmtId="0" fontId="20" fillId="0" borderId="1" xfId="2" applyFont="1" applyFill="1" applyBorder="1" applyAlignment="1">
      <alignment horizontal="left" vertical="center" wrapText="1"/>
    </xf>
    <xf numFmtId="0" fontId="20" fillId="0" borderId="4" xfId="2" applyFont="1" applyFill="1" applyBorder="1" applyAlignment="1">
      <alignment horizontal="left" vertical="center" wrapText="1"/>
    </xf>
    <xf numFmtId="0" fontId="17" fillId="8" borderId="0" xfId="3" applyFont="1" applyFill="1" applyAlignment="1">
      <alignment horizontal="left" vertical="center" wrapText="1"/>
    </xf>
    <xf numFmtId="0" fontId="18" fillId="0" borderId="42" xfId="0" applyFont="1" applyFill="1" applyBorder="1" applyAlignment="1">
      <alignment vertical="top"/>
    </xf>
    <xf numFmtId="0" fontId="18" fillId="0" borderId="43" xfId="0" applyFont="1" applyFill="1" applyBorder="1" applyAlignment="1">
      <alignment vertical="top"/>
    </xf>
    <xf numFmtId="0" fontId="18" fillId="0" borderId="44" xfId="0" applyFont="1" applyFill="1" applyBorder="1" applyAlignment="1">
      <alignment vertical="top"/>
    </xf>
    <xf numFmtId="0" fontId="18" fillId="0" borderId="45" xfId="0" applyFont="1" applyFill="1" applyBorder="1" applyAlignment="1">
      <alignment vertical="top"/>
    </xf>
    <xf numFmtId="0" fontId="18" fillId="0" borderId="27" xfId="0" applyFont="1" applyFill="1" applyBorder="1" applyAlignment="1">
      <alignment vertical="top"/>
    </xf>
    <xf numFmtId="0" fontId="18" fillId="0" borderId="46" xfId="0" applyFont="1" applyFill="1" applyBorder="1" applyAlignment="1">
      <alignment vertical="top"/>
    </xf>
    <xf numFmtId="0" fontId="18" fillId="0" borderId="47" xfId="0" applyFont="1" applyFill="1" applyBorder="1" applyAlignment="1">
      <alignment vertical="top"/>
    </xf>
    <xf numFmtId="0" fontId="18" fillId="0" borderId="48" xfId="0" applyFont="1" applyFill="1" applyBorder="1" applyAlignment="1">
      <alignment vertical="top"/>
    </xf>
    <xf numFmtId="0" fontId="18" fillId="0" borderId="49" xfId="0" applyFont="1" applyFill="1" applyBorder="1" applyAlignment="1">
      <alignment vertical="top"/>
    </xf>
    <xf numFmtId="0" fontId="20" fillId="9" borderId="26" xfId="4" applyFont="1" applyFill="1" applyBorder="1" applyAlignment="1">
      <alignment horizontal="center" vertical="center" wrapText="1"/>
    </xf>
    <xf numFmtId="0" fontId="20" fillId="9" borderId="0" xfId="4" applyFont="1" applyFill="1" applyBorder="1" applyAlignment="1">
      <alignment horizontal="center" vertical="center" wrapText="1"/>
    </xf>
    <xf numFmtId="3" fontId="20" fillId="6" borderId="1" xfId="3" applyNumberFormat="1" applyFont="1" applyFill="1" applyBorder="1" applyAlignment="1" applyProtection="1">
      <alignment horizontal="right" vertical="center" wrapText="1"/>
    </xf>
    <xf numFmtId="3" fontId="18" fillId="0" borderId="1" xfId="3" applyNumberFormat="1" applyFont="1" applyFill="1" applyBorder="1" applyAlignment="1" applyProtection="1">
      <alignment horizontal="right" vertical="center" wrapText="1"/>
    </xf>
    <xf numFmtId="166" fontId="20" fillId="9" borderId="1" xfId="3" applyNumberFormat="1" applyFont="1" applyFill="1" applyBorder="1" applyAlignment="1" applyProtection="1">
      <alignment horizontal="right" vertical="center" wrapText="1"/>
    </xf>
    <xf numFmtId="3" fontId="18" fillId="0" borderId="1" xfId="0" applyNumberFormat="1" applyFont="1" applyBorder="1" applyAlignment="1" applyProtection="1">
      <alignment horizontal="right"/>
    </xf>
    <xf numFmtId="165" fontId="18" fillId="0" borderId="1" xfId="3" applyNumberFormat="1" applyFont="1" applyFill="1" applyBorder="1" applyAlignment="1" applyProtection="1">
      <alignment horizontal="right" vertical="center" wrapText="1"/>
    </xf>
    <xf numFmtId="165" fontId="20" fillId="7" borderId="1" xfId="3" applyNumberFormat="1" applyFont="1" applyFill="1" applyBorder="1" applyAlignment="1" applyProtection="1">
      <alignment horizontal="right" vertical="center" wrapText="1"/>
    </xf>
    <xf numFmtId="0" fontId="20" fillId="7" borderId="38" xfId="2" applyFont="1" applyFill="1" applyBorder="1" applyAlignment="1">
      <alignment horizontal="center" vertical="center" wrapText="1"/>
    </xf>
    <xf numFmtId="0" fontId="19" fillId="9" borderId="21" xfId="2" applyFont="1" applyFill="1" applyBorder="1" applyAlignment="1">
      <alignment horizontal="left" vertical="center" wrapText="1"/>
    </xf>
    <xf numFmtId="0" fontId="19" fillId="9" borderId="22" xfId="2" applyFont="1" applyFill="1" applyBorder="1" applyAlignment="1">
      <alignment horizontal="left" vertical="center" wrapText="1"/>
    </xf>
    <xf numFmtId="0" fontId="19" fillId="9" borderId="23" xfId="2" applyFont="1" applyFill="1" applyBorder="1" applyAlignment="1">
      <alignment horizontal="left" vertical="center" wrapText="1"/>
    </xf>
    <xf numFmtId="0" fontId="19" fillId="9" borderId="0" xfId="2" applyFont="1" applyFill="1" applyBorder="1" applyAlignment="1">
      <alignment horizontal="left" vertical="center" wrapText="1"/>
    </xf>
    <xf numFmtId="0" fontId="17" fillId="8" borderId="0" xfId="2" applyFont="1" applyFill="1" applyBorder="1" applyAlignment="1" applyProtection="1">
      <alignment horizontal="center" vertical="center" wrapText="1"/>
    </xf>
    <xf numFmtId="0" fontId="9" fillId="8" borderId="0" xfId="5" applyFont="1" applyFill="1" applyBorder="1" applyAlignment="1">
      <alignment horizontal="left" vertical="center" wrapText="1"/>
    </xf>
    <xf numFmtId="0" fontId="52" fillId="9" borderId="3" xfId="5" applyFont="1" applyFill="1" applyBorder="1" applyAlignment="1">
      <alignment horizontal="left" vertical="center" wrapText="1"/>
    </xf>
    <xf numFmtId="3" fontId="4" fillId="0" borderId="3" xfId="0" applyNumberFormat="1" applyFont="1" applyBorder="1" applyAlignment="1">
      <alignment horizontal="center"/>
    </xf>
    <xf numFmtId="0" fontId="0" fillId="0" borderId="0" xfId="0" applyAlignment="1" applyProtection="1">
      <alignment vertical="top" wrapText="1"/>
      <protection locked="0"/>
    </xf>
    <xf numFmtId="169" fontId="52" fillId="0" borderId="3" xfId="5" applyNumberFormat="1" applyFont="1" applyBorder="1" applyAlignment="1">
      <alignment horizontal="center" vertical="center" wrapText="1"/>
    </xf>
    <xf numFmtId="3" fontId="52" fillId="0" borderId="3" xfId="0" applyNumberFormat="1" applyFont="1" applyBorder="1" applyAlignment="1">
      <alignment horizontal="center"/>
    </xf>
    <xf numFmtId="0" fontId="10" fillId="10" borderId="21" xfId="5" applyFont="1" applyFill="1" applyBorder="1" applyAlignment="1">
      <alignment horizontal="left" vertical="center" wrapText="1"/>
    </xf>
    <xf numFmtId="0" fontId="10" fillId="10" borderId="22" xfId="5" applyFont="1" applyFill="1" applyBorder="1" applyAlignment="1">
      <alignment horizontal="left" vertical="center" wrapText="1"/>
    </xf>
    <xf numFmtId="0" fontId="10" fillId="10" borderId="23" xfId="5" applyFont="1" applyFill="1" applyBorder="1" applyAlignment="1">
      <alignment horizontal="left" vertical="center" wrapText="1"/>
    </xf>
  </cellXfs>
  <cellStyles count="26">
    <cellStyle name="Lien hypertexte" xfId="1" builtinId="8" customBuilti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8" builtinId="9" hidden="1"/>
    <cellStyle name="Milliers 2" xfId="21" xr:uid="{D5B3A465-FECD-4B70-8C5E-0F3EA4DB1407}"/>
    <cellStyle name="Milliers 2 2" xfId="25" xr:uid="{DA70214C-B264-4E99-AACF-EE1B240E45ED}"/>
    <cellStyle name="Milliers 3" xfId="23" xr:uid="{679BC75C-83A3-49AF-93FC-68368D468AF0}"/>
    <cellStyle name="Normal" xfId="0" builtinId="0"/>
    <cellStyle name="Normal 2" xfId="7" xr:uid="{00000000-0005-0000-0000-00000C000000}"/>
    <cellStyle name="Normal 2 2" xfId="20" xr:uid="{00000000-0005-0000-0000-00000D000000}"/>
    <cellStyle name="Normal 3" xfId="17" xr:uid="{00000000-0005-0000-0000-00000E000000}"/>
    <cellStyle name="Normal_Bilan initial" xfId="2" xr:uid="{00000000-0005-0000-0000-00000F000000}"/>
    <cellStyle name="Normal_Charges d'exploitation" xfId="3" xr:uid="{00000000-0005-0000-0000-000010000000}"/>
    <cellStyle name="Normal_Plan_investissements" xfId="4" xr:uid="{00000000-0005-0000-0000-000011000000}"/>
    <cellStyle name="Normal_Sheet6" xfId="5" xr:uid="{00000000-0005-0000-0000-000012000000}"/>
    <cellStyle name="Pourcentage" xfId="6" builtinId="5"/>
    <cellStyle name="Pourcentage 2" xfId="22" xr:uid="{34921D4E-B152-4662-A9C8-E9EF743B4AAB}"/>
    <cellStyle name="Pourcentage 3" xfId="24" xr:uid="{696F6CB8-315F-45CA-9EA8-FF133215CB3D}"/>
    <cellStyle name="TitreBP" xfId="19" xr:uid="{00000000-0005-0000-0000-000014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433B54"/>
      <rgbColor rgb="00FFFFFF"/>
      <rgbColor rgb="00B3ABC5"/>
      <rgbColor rgb="00D3B6D8"/>
      <rgbColor rgb="00F6B065"/>
      <rgbColor rgb="00333333"/>
      <rgbColor rgb="00B2C2D1"/>
      <rgbColor rgb="009AC8D9"/>
      <rgbColor rgb="008C80A6"/>
      <rgbColor rgb="00A86DB1"/>
      <rgbColor rgb="00FF9933"/>
      <rgbColor rgb="00C23841"/>
      <rgbColor rgb="00FFDD7D"/>
      <rgbColor rgb="0089D5F1"/>
      <rgbColor rgb="00C3DDB8"/>
      <rgbColor rgb="0088BA71"/>
      <rgbColor rgb="00255B89"/>
      <rgbColor rgb="00AAA19A"/>
      <rgbColor rgb="00DCEBEF"/>
      <rgbColor rgb="0056A2B9"/>
      <rgbColor rgb="00C8C1BC"/>
      <rgbColor rgb="00003868"/>
      <rgbColor rgb="0091C8D9"/>
      <rgbColor rgb="00166C86"/>
      <rgbColor rgb="00F5F1EF"/>
      <rgbColor rgb="00AAA19A"/>
      <rgbColor rgb="009D0E2D"/>
      <rgbColor rgb="006CCBED"/>
      <rgbColor rgb="0092499E"/>
      <rgbColor rgb="00F49C3E"/>
      <rgbColor rgb="006AA94E"/>
      <rgbColor rgb="00FFC726"/>
      <rgbColor rgb="00B816BC"/>
      <rgbColor rgb="00FFFFFF"/>
      <rgbColor rgb="00FFFFFF"/>
      <rgbColor rgb="00000000"/>
      <rgbColor rgb="00FFFFFF"/>
      <rgbColor rgb="00DDE4E9"/>
      <rgbColor rgb="00FFFFFF"/>
      <rgbColor rgb="00F5F1EF"/>
      <rgbColor rgb="00F8C48B"/>
      <rgbColor rgb="00A7E0E0"/>
      <rgbColor rgb="00DE7572"/>
      <rgbColor rgb="00E3DFDB"/>
      <rgbColor rgb="00C8C1BC"/>
      <rgbColor rgb="00AAA19A"/>
      <rgbColor rgb="00FFD251"/>
      <rgbColor rgb="00A6CB95"/>
      <rgbColor rgb="006CCBED"/>
      <rgbColor rgb="00BE92C5"/>
      <rgbColor rgb="0092499E"/>
      <rgbColor rgb="009D0E2D"/>
      <rgbColor rgb="0091867E"/>
      <rgbColor rgb="00FFE9A8"/>
      <rgbColor rgb="00FFC726"/>
      <rgbColor rgb="006AA94E"/>
    </indexedColors>
    <mruColors>
      <color rgb="FFAAA19A"/>
      <color rgb="FFC8C1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OME"/></Relationships>
</file>

<file path=xl/drawings/_rels/drawing10.xml.rels><?xml version="1.0" encoding="UTF-8" standalone="yes"?>
<Relationships xmlns="http://schemas.openxmlformats.org/package/2006/relationships"><Relationship Id="rId3" Type="http://schemas.openxmlformats.org/officeDocument/2006/relationships/hyperlink" Target="#BilanI"/><Relationship Id="rId2" Type="http://schemas.openxmlformats.org/officeDocument/2006/relationships/image" Target="../media/image1.png"/><Relationship Id="rId1" Type="http://schemas.openxmlformats.org/officeDocument/2006/relationships/hyperlink" Target="#HOME"/><Relationship Id="rId4" Type="http://schemas.openxmlformats.org/officeDocument/2006/relationships/image" Target="../media/image1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13.xml.rels><?xml version="1.0" encoding="UTF-8" standalone="yes"?>
<Relationships xmlns="http://schemas.openxmlformats.org/package/2006/relationships"><Relationship Id="rId3" Type="http://schemas.openxmlformats.org/officeDocument/2006/relationships/hyperlink" Target="#'Compte d''exploitation'!A1"/><Relationship Id="rId2" Type="http://schemas.openxmlformats.org/officeDocument/2006/relationships/image" Target="../media/image1.png"/><Relationship Id="rId1" Type="http://schemas.openxmlformats.org/officeDocument/2006/relationships/hyperlink" Target="#HOME"/><Relationship Id="rId4"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image" Target="../media/image1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Relationships>
</file>

<file path=xl/drawings/drawing1.xml><?xml version="1.0" encoding="utf-8"?>
<xdr:wsDr xmlns:xdr="http://schemas.openxmlformats.org/drawingml/2006/spreadsheetDrawing" xmlns:a="http://schemas.openxmlformats.org/drawingml/2006/main">
  <xdr:twoCellAnchor>
    <xdr:from>
      <xdr:col>9</xdr:col>
      <xdr:colOff>123825</xdr:colOff>
      <xdr:row>0</xdr:row>
      <xdr:rowOff>66675</xdr:rowOff>
    </xdr:from>
    <xdr:to>
      <xdr:col>9</xdr:col>
      <xdr:colOff>523875</xdr:colOff>
      <xdr:row>0</xdr:row>
      <xdr:rowOff>466725</xdr:rowOff>
    </xdr:to>
    <xdr:pic>
      <xdr:nvPicPr>
        <xdr:cNvPr id="37889" name="Picture 1">
          <a:hlinkClick xmlns:r="http://schemas.openxmlformats.org/officeDocument/2006/relationships" r:id="rId1"/>
          <a:extLst>
            <a:ext uri="{FF2B5EF4-FFF2-40B4-BE49-F238E27FC236}">
              <a16:creationId xmlns:a16="http://schemas.microsoft.com/office/drawing/2014/main" id="{00000000-0008-0000-0100-0000019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085354" y="6667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144780</xdr:colOff>
      <xdr:row>0</xdr:row>
      <xdr:rowOff>464820</xdr:rowOff>
    </xdr:from>
    <xdr:to>
      <xdr:col>6</xdr:col>
      <xdr:colOff>159597</xdr:colOff>
      <xdr:row>3</xdr:row>
      <xdr:rowOff>129540</xdr:rowOff>
    </xdr:to>
    <xdr:pic>
      <xdr:nvPicPr>
        <xdr:cNvPr id="4" name="Image 3">
          <a:extLst>
            <a:ext uri="{FF2B5EF4-FFF2-40B4-BE49-F238E27FC236}">
              <a16:creationId xmlns:a16="http://schemas.microsoft.com/office/drawing/2014/main" id="{0ECD50F2-2638-3E6D-BC2B-E4252687A1DB}"/>
            </a:ext>
          </a:extLst>
        </xdr:cNvPr>
        <xdr:cNvPicPr>
          <a:picLocks noChangeAspect="1"/>
        </xdr:cNvPicPr>
      </xdr:nvPicPr>
      <xdr:blipFill>
        <a:blip xmlns:r="http://schemas.openxmlformats.org/officeDocument/2006/relationships" r:embed="rId3"/>
        <a:stretch>
          <a:fillRect/>
        </a:stretch>
      </xdr:blipFill>
      <xdr:spPr>
        <a:xfrm>
          <a:off x="144780" y="464820"/>
          <a:ext cx="3901017" cy="723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133350</xdr:colOff>
      <xdr:row>0</xdr:row>
      <xdr:rowOff>19050</xdr:rowOff>
    </xdr:from>
    <xdr:to>
      <xdr:col>7</xdr:col>
      <xdr:colOff>533400</xdr:colOff>
      <xdr:row>0</xdr:row>
      <xdr:rowOff>419100</xdr:rowOff>
    </xdr:to>
    <xdr:pic>
      <xdr:nvPicPr>
        <xdr:cNvPr id="43010" name="Picture 2">
          <a:hlinkClick xmlns:r="http://schemas.openxmlformats.org/officeDocument/2006/relationships" r:id="rId1"/>
          <a:extLst>
            <a:ext uri="{FF2B5EF4-FFF2-40B4-BE49-F238E27FC236}">
              <a16:creationId xmlns:a16="http://schemas.microsoft.com/office/drawing/2014/main" id="{00000000-0008-0000-0B00-000002A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696450" y="1905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220980</xdr:colOff>
      <xdr:row>0</xdr:row>
      <xdr:rowOff>19050</xdr:rowOff>
    </xdr:from>
    <xdr:to>
      <xdr:col>7</xdr:col>
      <xdr:colOff>1455</xdr:colOff>
      <xdr:row>0</xdr:row>
      <xdr:rowOff>418650</xdr:rowOff>
    </xdr:to>
    <xdr:pic>
      <xdr:nvPicPr>
        <xdr:cNvPr id="2" name="Image 1">
          <a:hlinkClick xmlns:r="http://schemas.openxmlformats.org/officeDocument/2006/relationships" r:id="rId3"/>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59240" y="19050"/>
          <a:ext cx="399600" cy="3996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133350</xdr:colOff>
      <xdr:row>0</xdr:row>
      <xdr:rowOff>9525</xdr:rowOff>
    </xdr:from>
    <xdr:to>
      <xdr:col>6</xdr:col>
      <xdr:colOff>533400</xdr:colOff>
      <xdr:row>0</xdr:row>
      <xdr:rowOff>409575</xdr:rowOff>
    </xdr:to>
    <xdr:pic>
      <xdr:nvPicPr>
        <xdr:cNvPr id="44033" name="Picture 1">
          <a:hlinkClick xmlns:r="http://schemas.openxmlformats.org/officeDocument/2006/relationships" r:id="rId1"/>
          <a:extLst>
            <a:ext uri="{FF2B5EF4-FFF2-40B4-BE49-F238E27FC236}">
              <a16:creationId xmlns:a16="http://schemas.microsoft.com/office/drawing/2014/main" id="{00000000-0008-0000-0C00-000001A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147810" y="952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123825</xdr:colOff>
      <xdr:row>0</xdr:row>
      <xdr:rowOff>38100</xdr:rowOff>
    </xdr:from>
    <xdr:to>
      <xdr:col>8</xdr:col>
      <xdr:colOff>523875</xdr:colOff>
      <xdr:row>0</xdr:row>
      <xdr:rowOff>438150</xdr:rowOff>
    </xdr:to>
    <xdr:pic>
      <xdr:nvPicPr>
        <xdr:cNvPr id="45057" name="Picture 1">
          <a:hlinkClick xmlns:r="http://schemas.openxmlformats.org/officeDocument/2006/relationships" r:id="rId1"/>
          <a:extLst>
            <a:ext uri="{FF2B5EF4-FFF2-40B4-BE49-F238E27FC236}">
              <a16:creationId xmlns:a16="http://schemas.microsoft.com/office/drawing/2014/main" id="{00000000-0008-0000-0D00-000001B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932289" y="3810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6</xdr:col>
      <xdr:colOff>95250</xdr:colOff>
      <xdr:row>0</xdr:row>
      <xdr:rowOff>9525</xdr:rowOff>
    </xdr:from>
    <xdr:to>
      <xdr:col>6</xdr:col>
      <xdr:colOff>495300</xdr:colOff>
      <xdr:row>0</xdr:row>
      <xdr:rowOff>409575</xdr:rowOff>
    </xdr:to>
    <xdr:pic>
      <xdr:nvPicPr>
        <xdr:cNvPr id="46081" name="Picture 1">
          <a:hlinkClick xmlns:r="http://schemas.openxmlformats.org/officeDocument/2006/relationships" r:id="rId1"/>
          <a:extLst>
            <a:ext uri="{FF2B5EF4-FFF2-40B4-BE49-F238E27FC236}">
              <a16:creationId xmlns:a16="http://schemas.microsoft.com/office/drawing/2014/main" id="{00000000-0008-0000-0E00-000001B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521450" y="952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211664</xdr:colOff>
      <xdr:row>0</xdr:row>
      <xdr:rowOff>9525</xdr:rowOff>
    </xdr:from>
    <xdr:to>
      <xdr:col>6</xdr:col>
      <xdr:colOff>1664</xdr:colOff>
      <xdr:row>0</xdr:row>
      <xdr:rowOff>409125</xdr:rowOff>
    </xdr:to>
    <xdr:pic>
      <xdr:nvPicPr>
        <xdr:cNvPr id="4" name="Image 3">
          <a:hlinkClick xmlns:r="http://schemas.openxmlformats.org/officeDocument/2006/relationships" r:id="rId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11331" y="9525"/>
          <a:ext cx="399600" cy="3996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8</xdr:col>
      <xdr:colOff>123825</xdr:colOff>
      <xdr:row>0</xdr:row>
      <xdr:rowOff>47625</xdr:rowOff>
    </xdr:from>
    <xdr:to>
      <xdr:col>8</xdr:col>
      <xdr:colOff>523875</xdr:colOff>
      <xdr:row>0</xdr:row>
      <xdr:rowOff>447675</xdr:rowOff>
    </xdr:to>
    <xdr:pic>
      <xdr:nvPicPr>
        <xdr:cNvPr id="47105" name="Picture 1">
          <a:hlinkClick xmlns:r="http://schemas.openxmlformats.org/officeDocument/2006/relationships" r:id="rId1"/>
          <a:extLst>
            <a:ext uri="{FF2B5EF4-FFF2-40B4-BE49-F238E27FC236}">
              <a16:creationId xmlns:a16="http://schemas.microsoft.com/office/drawing/2014/main" id="{00000000-0008-0000-0F00-000001B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1226165" y="4762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133350</xdr:colOff>
      <xdr:row>0</xdr:row>
      <xdr:rowOff>38100</xdr:rowOff>
    </xdr:from>
    <xdr:to>
      <xdr:col>7</xdr:col>
      <xdr:colOff>533400</xdr:colOff>
      <xdr:row>0</xdr:row>
      <xdr:rowOff>438150</xdr:rowOff>
    </xdr:to>
    <xdr:pic>
      <xdr:nvPicPr>
        <xdr:cNvPr id="48129" name="Picture 1">
          <a:hlinkClick xmlns:r="http://schemas.openxmlformats.org/officeDocument/2006/relationships" r:id="rId1"/>
          <a:extLst>
            <a:ext uri="{FF2B5EF4-FFF2-40B4-BE49-F238E27FC236}">
              <a16:creationId xmlns:a16="http://schemas.microsoft.com/office/drawing/2014/main" id="{00000000-0008-0000-1000-000001B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117330" y="3810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123825</xdr:colOff>
      <xdr:row>0</xdr:row>
      <xdr:rowOff>28575</xdr:rowOff>
    </xdr:from>
    <xdr:to>
      <xdr:col>3</xdr:col>
      <xdr:colOff>523875</xdr:colOff>
      <xdr:row>0</xdr:row>
      <xdr:rowOff>428625</xdr:rowOff>
    </xdr:to>
    <xdr:pic>
      <xdr:nvPicPr>
        <xdr:cNvPr id="50177" name="Picture 1">
          <a:hlinkClick xmlns:r="http://schemas.openxmlformats.org/officeDocument/2006/relationships" r:id="rId1"/>
          <a:extLst>
            <a:ext uri="{FF2B5EF4-FFF2-40B4-BE49-F238E27FC236}">
              <a16:creationId xmlns:a16="http://schemas.microsoft.com/office/drawing/2014/main" id="{00000000-0008-0000-1300-000001C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5991225" y="2857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699345</xdr:colOff>
      <xdr:row>6</xdr:row>
      <xdr:rowOff>55877</xdr:rowOff>
    </xdr:from>
    <xdr:to>
      <xdr:col>3</xdr:col>
      <xdr:colOff>635846</xdr:colOff>
      <xdr:row>11</xdr:row>
      <xdr:rowOff>55031</xdr:rowOff>
    </xdr:to>
    <xdr:pic>
      <xdr:nvPicPr>
        <xdr:cNvPr id="15" name="Image 14">
          <a:extLst>
            <a:ext uri="{FF2B5EF4-FFF2-40B4-BE49-F238E27FC236}">
              <a16:creationId xmlns:a16="http://schemas.microsoft.com/office/drawing/2014/main" id="{00000000-0008-0000-0300-00000F000000}"/>
            </a:ext>
          </a:extLst>
        </xdr:cNvPr>
        <xdr:cNvPicPr>
          <a:picLocks noChangeAspect="1"/>
        </xdr:cNvPicPr>
      </xdr:nvPicPr>
      <xdr:blipFill rotWithShape="1">
        <a:blip xmlns:r="http://schemas.openxmlformats.org/officeDocument/2006/relationships" r:embed="rId1"/>
        <a:srcRect l="17957" r="14359"/>
        <a:stretch/>
      </xdr:blipFill>
      <xdr:spPr>
        <a:xfrm>
          <a:off x="2909145" y="1224277"/>
          <a:ext cx="736601" cy="951654"/>
        </a:xfrm>
        <a:prstGeom prst="rect">
          <a:avLst/>
        </a:prstGeom>
      </xdr:spPr>
    </xdr:pic>
    <xdr:clientData/>
  </xdr:twoCellAnchor>
  <xdr:twoCellAnchor>
    <xdr:from>
      <xdr:col>21</xdr:col>
      <xdr:colOff>33868</xdr:colOff>
      <xdr:row>2</xdr:row>
      <xdr:rowOff>135466</xdr:rowOff>
    </xdr:from>
    <xdr:to>
      <xdr:col>23</xdr:col>
      <xdr:colOff>338668</xdr:colOff>
      <xdr:row>11</xdr:row>
      <xdr:rowOff>135466</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16239068" y="516466"/>
          <a:ext cx="1778000" cy="1739900"/>
        </a:xfrm>
        <a:prstGeom prst="rect">
          <a:avLst/>
        </a:prstGeom>
        <a:solidFill>
          <a:srgbClr val="FFFF00"/>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US" sz="1400">
              <a:solidFill>
                <a:schemeClr val="tx2">
                  <a:lumMod val="75000"/>
                </a:schemeClr>
              </a:solidFill>
              <a:latin typeface="Arial"/>
              <a:cs typeface="Arial"/>
            </a:rPr>
            <a:t>Ceci est un</a:t>
          </a:r>
          <a:r>
            <a:rPr lang="en-US" sz="1400" baseline="0">
              <a:solidFill>
                <a:schemeClr val="tx2">
                  <a:lumMod val="75000"/>
                </a:schemeClr>
              </a:solidFill>
              <a:latin typeface="Arial"/>
              <a:cs typeface="Arial"/>
            </a:rPr>
            <a:t> post it! Copier et coller le directement dans le canevas.</a:t>
          </a:r>
          <a:endParaRPr lang="en-US" sz="1400">
            <a:solidFill>
              <a:schemeClr val="tx2">
                <a:lumMod val="75000"/>
              </a:schemeClr>
            </a:solidFill>
            <a:latin typeface="Arial"/>
            <a:cs typeface="Arial"/>
          </a:endParaRPr>
        </a:p>
      </xdr:txBody>
    </xdr:sp>
    <xdr:clientData/>
  </xdr:twoCellAnchor>
  <xdr:twoCellAnchor>
    <xdr:from>
      <xdr:col>21</xdr:col>
      <xdr:colOff>33868</xdr:colOff>
      <xdr:row>13</xdr:row>
      <xdr:rowOff>169332</xdr:rowOff>
    </xdr:from>
    <xdr:to>
      <xdr:col>23</xdr:col>
      <xdr:colOff>338668</xdr:colOff>
      <xdr:row>22</xdr:row>
      <xdr:rowOff>169332</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16239068" y="2671232"/>
          <a:ext cx="1778000" cy="1714500"/>
        </a:xfrm>
        <a:prstGeom prst="rect">
          <a:avLst/>
        </a:prstGeom>
        <a:solidFill>
          <a:srgbClr val="FF6600"/>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US" sz="1400">
              <a:solidFill>
                <a:schemeClr val="bg1"/>
              </a:solidFill>
              <a:latin typeface="Arial"/>
              <a:cs typeface="Arial"/>
            </a:rPr>
            <a:t>Ceci est un post it! Copier et coller le directement dans le canevas.</a:t>
          </a:r>
        </a:p>
      </xdr:txBody>
    </xdr:sp>
    <xdr:clientData/>
  </xdr:twoCellAnchor>
  <xdr:twoCellAnchor>
    <xdr:from>
      <xdr:col>21</xdr:col>
      <xdr:colOff>33868</xdr:colOff>
      <xdr:row>37</xdr:row>
      <xdr:rowOff>50799</xdr:rowOff>
    </xdr:from>
    <xdr:to>
      <xdr:col>23</xdr:col>
      <xdr:colOff>338668</xdr:colOff>
      <xdr:row>46</xdr:row>
      <xdr:rowOff>50799</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16239068" y="7124699"/>
          <a:ext cx="1778000" cy="1714500"/>
        </a:xfrm>
        <a:prstGeom prst="rect">
          <a:avLst/>
        </a:prstGeom>
        <a:solidFill>
          <a:schemeClr val="bg2">
            <a:lumMod val="75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US" sz="1400">
              <a:latin typeface="Arial"/>
              <a:cs typeface="Arial"/>
            </a:rPr>
            <a:t>Ceci est un post it! Copier et coller le directement dans le canevas.</a:t>
          </a:r>
        </a:p>
      </xdr:txBody>
    </xdr:sp>
    <xdr:clientData/>
  </xdr:twoCellAnchor>
  <xdr:twoCellAnchor>
    <xdr:from>
      <xdr:col>21</xdr:col>
      <xdr:colOff>33868</xdr:colOff>
      <xdr:row>25</xdr:row>
      <xdr:rowOff>84666</xdr:rowOff>
    </xdr:from>
    <xdr:to>
      <xdr:col>23</xdr:col>
      <xdr:colOff>338668</xdr:colOff>
      <xdr:row>34</xdr:row>
      <xdr:rowOff>84666</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16239068" y="4872566"/>
          <a:ext cx="1778000" cy="1714500"/>
        </a:xfrm>
        <a:prstGeom prst="rect">
          <a:avLst/>
        </a:prstGeom>
        <a:solidFill>
          <a:schemeClr val="bg2">
            <a:lumMod val="90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US" sz="1400">
              <a:latin typeface="Arial"/>
              <a:cs typeface="Arial"/>
            </a:rPr>
            <a:t>Ceci est un post it! Copier et coller le directement dans le canevas.</a:t>
          </a:r>
        </a:p>
      </xdr:txBody>
    </xdr:sp>
    <xdr:clientData/>
  </xdr:twoCellAnchor>
  <xdr:twoCellAnchor editAs="oneCell">
    <xdr:from>
      <xdr:col>6</xdr:col>
      <xdr:colOff>685799</xdr:colOff>
      <xdr:row>6</xdr:row>
      <xdr:rowOff>33867</xdr:rowOff>
    </xdr:from>
    <xdr:to>
      <xdr:col>7</xdr:col>
      <xdr:colOff>652101</xdr:colOff>
      <xdr:row>10</xdr:row>
      <xdr:rowOff>143426</xdr:rowOff>
    </xdr:to>
    <xdr:pic>
      <xdr:nvPicPr>
        <xdr:cNvPr id="16" name="Image 15">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2"/>
        <a:stretch>
          <a:fillRect/>
        </a:stretch>
      </xdr:blipFill>
      <xdr:spPr>
        <a:xfrm>
          <a:off x="5841999" y="1202267"/>
          <a:ext cx="766402" cy="871559"/>
        </a:xfrm>
        <a:prstGeom prst="rect">
          <a:avLst/>
        </a:prstGeom>
      </xdr:spPr>
    </xdr:pic>
    <xdr:clientData/>
  </xdr:twoCellAnchor>
  <xdr:twoCellAnchor editAs="oneCell">
    <xdr:from>
      <xdr:col>10</xdr:col>
      <xdr:colOff>699347</xdr:colOff>
      <xdr:row>6</xdr:row>
      <xdr:rowOff>42335</xdr:rowOff>
    </xdr:from>
    <xdr:to>
      <xdr:col>11</xdr:col>
      <xdr:colOff>638218</xdr:colOff>
      <xdr:row>10</xdr:row>
      <xdr:rowOff>165610</xdr:rowOff>
    </xdr:to>
    <xdr:pic>
      <xdr:nvPicPr>
        <xdr:cNvPr id="17" name="Image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3"/>
        <a:stretch>
          <a:fillRect/>
        </a:stretch>
      </xdr:blipFill>
      <xdr:spPr>
        <a:xfrm>
          <a:off x="8801947" y="1210735"/>
          <a:ext cx="738971" cy="885275"/>
        </a:xfrm>
        <a:prstGeom prst="rect">
          <a:avLst/>
        </a:prstGeom>
      </xdr:spPr>
    </xdr:pic>
    <xdr:clientData/>
  </xdr:twoCellAnchor>
  <xdr:twoCellAnchor editAs="oneCell">
    <xdr:from>
      <xdr:col>14</xdr:col>
      <xdr:colOff>702734</xdr:colOff>
      <xdr:row>6</xdr:row>
      <xdr:rowOff>33866</xdr:rowOff>
    </xdr:from>
    <xdr:to>
      <xdr:col>15</xdr:col>
      <xdr:colOff>650749</xdr:colOff>
      <xdr:row>10</xdr:row>
      <xdr:rowOff>115993</xdr:rowOff>
    </xdr:to>
    <xdr:pic>
      <xdr:nvPicPr>
        <xdr:cNvPr id="18" name="Image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4"/>
        <a:stretch>
          <a:fillRect/>
        </a:stretch>
      </xdr:blipFill>
      <xdr:spPr>
        <a:xfrm>
          <a:off x="11751734" y="1202266"/>
          <a:ext cx="748115" cy="844127"/>
        </a:xfrm>
        <a:prstGeom prst="rect">
          <a:avLst/>
        </a:prstGeom>
      </xdr:spPr>
    </xdr:pic>
    <xdr:clientData/>
  </xdr:twoCellAnchor>
  <xdr:twoCellAnchor editAs="oneCell">
    <xdr:from>
      <xdr:col>18</xdr:col>
      <xdr:colOff>717126</xdr:colOff>
      <xdr:row>6</xdr:row>
      <xdr:rowOff>42333</xdr:rowOff>
    </xdr:from>
    <xdr:to>
      <xdr:col>19</xdr:col>
      <xdr:colOff>651424</xdr:colOff>
      <xdr:row>10</xdr:row>
      <xdr:rowOff>120226</xdr:rowOff>
    </xdr:to>
    <xdr:pic>
      <xdr:nvPicPr>
        <xdr:cNvPr id="19" name="Image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5"/>
        <a:stretch>
          <a:fillRect/>
        </a:stretch>
      </xdr:blipFill>
      <xdr:spPr>
        <a:xfrm>
          <a:off x="14712526" y="1210733"/>
          <a:ext cx="734398" cy="839893"/>
        </a:xfrm>
        <a:prstGeom prst="rect">
          <a:avLst/>
        </a:prstGeom>
      </xdr:spPr>
    </xdr:pic>
    <xdr:clientData/>
  </xdr:twoCellAnchor>
  <xdr:twoCellAnchor editAs="oneCell">
    <xdr:from>
      <xdr:col>6</xdr:col>
      <xdr:colOff>694267</xdr:colOff>
      <xdr:row>26</xdr:row>
      <xdr:rowOff>38100</xdr:rowOff>
    </xdr:from>
    <xdr:to>
      <xdr:col>7</xdr:col>
      <xdr:colOff>651425</xdr:colOff>
      <xdr:row>30</xdr:row>
      <xdr:rowOff>133943</xdr:rowOff>
    </xdr:to>
    <xdr:pic>
      <xdr:nvPicPr>
        <xdr:cNvPr id="20" name="Image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6"/>
        <a:stretch>
          <a:fillRect/>
        </a:stretch>
      </xdr:blipFill>
      <xdr:spPr>
        <a:xfrm>
          <a:off x="5850467" y="5016500"/>
          <a:ext cx="757258" cy="857843"/>
        </a:xfrm>
        <a:prstGeom prst="rect">
          <a:avLst/>
        </a:prstGeom>
      </xdr:spPr>
    </xdr:pic>
    <xdr:clientData/>
  </xdr:twoCellAnchor>
  <xdr:twoCellAnchor editAs="oneCell">
    <xdr:from>
      <xdr:col>18</xdr:col>
      <xdr:colOff>656167</xdr:colOff>
      <xdr:row>46</xdr:row>
      <xdr:rowOff>46566</xdr:rowOff>
    </xdr:from>
    <xdr:to>
      <xdr:col>19</xdr:col>
      <xdr:colOff>640757</xdr:colOff>
      <xdr:row>50</xdr:row>
      <xdr:rowOff>124460</xdr:rowOff>
    </xdr:to>
    <xdr:pic>
      <xdr:nvPicPr>
        <xdr:cNvPr id="21" name="Image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7"/>
        <a:stretch>
          <a:fillRect/>
        </a:stretch>
      </xdr:blipFill>
      <xdr:spPr>
        <a:xfrm>
          <a:off x="14651567" y="8834966"/>
          <a:ext cx="784690" cy="839894"/>
        </a:xfrm>
        <a:prstGeom prst="rect">
          <a:avLst/>
        </a:prstGeom>
      </xdr:spPr>
    </xdr:pic>
    <xdr:clientData/>
  </xdr:twoCellAnchor>
  <xdr:twoCellAnchor editAs="oneCell">
    <xdr:from>
      <xdr:col>8</xdr:col>
      <xdr:colOff>681567</xdr:colOff>
      <xdr:row>46</xdr:row>
      <xdr:rowOff>46567</xdr:rowOff>
    </xdr:from>
    <xdr:to>
      <xdr:col>9</xdr:col>
      <xdr:colOff>652442</xdr:colOff>
      <xdr:row>50</xdr:row>
      <xdr:rowOff>156126</xdr:rowOff>
    </xdr:to>
    <xdr:pic>
      <xdr:nvPicPr>
        <xdr:cNvPr id="22" name="Image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8"/>
        <a:stretch>
          <a:fillRect/>
        </a:stretch>
      </xdr:blipFill>
      <xdr:spPr>
        <a:xfrm>
          <a:off x="7310967" y="8834967"/>
          <a:ext cx="770975" cy="871559"/>
        </a:xfrm>
        <a:prstGeom prst="rect">
          <a:avLst/>
        </a:prstGeom>
      </xdr:spPr>
    </xdr:pic>
    <xdr:clientData/>
  </xdr:twoCellAnchor>
  <xdr:twoCellAnchor editAs="oneCell">
    <xdr:from>
      <xdr:col>14</xdr:col>
      <xdr:colOff>685801</xdr:colOff>
      <xdr:row>26</xdr:row>
      <xdr:rowOff>42333</xdr:rowOff>
    </xdr:from>
    <xdr:to>
      <xdr:col>15</xdr:col>
      <xdr:colOff>649056</xdr:colOff>
      <xdr:row>30</xdr:row>
      <xdr:rowOff>147658</xdr:rowOff>
    </xdr:to>
    <xdr:pic>
      <xdr:nvPicPr>
        <xdr:cNvPr id="23" name="Image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9"/>
        <a:stretch>
          <a:fillRect/>
        </a:stretch>
      </xdr:blipFill>
      <xdr:spPr>
        <a:xfrm>
          <a:off x="11734801" y="5020733"/>
          <a:ext cx="763355" cy="867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257175</xdr:colOff>
      <xdr:row>0</xdr:row>
      <xdr:rowOff>28575</xdr:rowOff>
    </xdr:from>
    <xdr:to>
      <xdr:col>2</xdr:col>
      <xdr:colOff>657225</xdr:colOff>
      <xdr:row>0</xdr:row>
      <xdr:rowOff>428625</xdr:rowOff>
    </xdr:to>
    <xdr:pic>
      <xdr:nvPicPr>
        <xdr:cNvPr id="11291" name="Picture 27">
          <a:hlinkClick xmlns:r="http://schemas.openxmlformats.org/officeDocument/2006/relationships" r:id="rId1"/>
          <a:extLst>
            <a:ext uri="{FF2B5EF4-FFF2-40B4-BE49-F238E27FC236}">
              <a16:creationId xmlns:a16="http://schemas.microsoft.com/office/drawing/2014/main" id="{00000000-0008-0000-0400-00001B2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200775" y="2857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133350</xdr:colOff>
      <xdr:row>0</xdr:row>
      <xdr:rowOff>28575</xdr:rowOff>
    </xdr:from>
    <xdr:to>
      <xdr:col>2</xdr:col>
      <xdr:colOff>533400</xdr:colOff>
      <xdr:row>0</xdr:row>
      <xdr:rowOff>428625</xdr:rowOff>
    </xdr:to>
    <xdr:pic>
      <xdr:nvPicPr>
        <xdr:cNvPr id="38913" name="Picture 1">
          <a:hlinkClick xmlns:r="http://schemas.openxmlformats.org/officeDocument/2006/relationships" r:id="rId1"/>
          <a:extLst>
            <a:ext uri="{FF2B5EF4-FFF2-40B4-BE49-F238E27FC236}">
              <a16:creationId xmlns:a16="http://schemas.microsoft.com/office/drawing/2014/main" id="{00000000-0008-0000-0500-0000019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099810" y="2857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76200</xdr:colOff>
      <xdr:row>0</xdr:row>
      <xdr:rowOff>19050</xdr:rowOff>
    </xdr:from>
    <xdr:to>
      <xdr:col>8</xdr:col>
      <xdr:colOff>476250</xdr:colOff>
      <xdr:row>0</xdr:row>
      <xdr:rowOff>419100</xdr:rowOff>
    </xdr:to>
    <xdr:pic>
      <xdr:nvPicPr>
        <xdr:cNvPr id="40961" name="Picture 1">
          <a:hlinkClick xmlns:r="http://schemas.openxmlformats.org/officeDocument/2006/relationships" r:id="rId1"/>
          <a:extLst>
            <a:ext uri="{FF2B5EF4-FFF2-40B4-BE49-F238E27FC236}">
              <a16:creationId xmlns:a16="http://schemas.microsoft.com/office/drawing/2014/main" id="{00000000-0008-0000-0600-000001A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56520" y="1905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104775</xdr:colOff>
      <xdr:row>0</xdr:row>
      <xdr:rowOff>28575</xdr:rowOff>
    </xdr:from>
    <xdr:to>
      <xdr:col>5</xdr:col>
      <xdr:colOff>504825</xdr:colOff>
      <xdr:row>0</xdr:row>
      <xdr:rowOff>428625</xdr:rowOff>
    </xdr:to>
    <xdr:pic>
      <xdr:nvPicPr>
        <xdr:cNvPr id="39937" name="Picture 1">
          <a:hlinkClick xmlns:r="http://schemas.openxmlformats.org/officeDocument/2006/relationships" r:id="rId1"/>
          <a:extLst>
            <a:ext uri="{FF2B5EF4-FFF2-40B4-BE49-F238E27FC236}">
              <a16:creationId xmlns:a16="http://schemas.microsoft.com/office/drawing/2014/main" id="{00000000-0008-0000-0700-0000019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943975" y="28575"/>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114300</xdr:colOff>
      <xdr:row>0</xdr:row>
      <xdr:rowOff>19050</xdr:rowOff>
    </xdr:from>
    <xdr:to>
      <xdr:col>11</xdr:col>
      <xdr:colOff>514350</xdr:colOff>
      <xdr:row>0</xdr:row>
      <xdr:rowOff>419100</xdr:rowOff>
    </xdr:to>
    <xdr:pic>
      <xdr:nvPicPr>
        <xdr:cNvPr id="35844" name="Picture 4">
          <a:hlinkClick xmlns:r="http://schemas.openxmlformats.org/officeDocument/2006/relationships" r:id="rId1"/>
          <a:extLst>
            <a:ext uri="{FF2B5EF4-FFF2-40B4-BE49-F238E27FC236}">
              <a16:creationId xmlns:a16="http://schemas.microsoft.com/office/drawing/2014/main" id="{00000000-0008-0000-0800-0000048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174480" y="1905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104775</xdr:colOff>
      <xdr:row>0</xdr:row>
      <xdr:rowOff>19050</xdr:rowOff>
    </xdr:from>
    <xdr:to>
      <xdr:col>4</xdr:col>
      <xdr:colOff>504825</xdr:colOff>
      <xdr:row>0</xdr:row>
      <xdr:rowOff>419100</xdr:rowOff>
    </xdr:to>
    <xdr:pic>
      <xdr:nvPicPr>
        <xdr:cNvPr id="36867" name="Picture 3">
          <a:hlinkClick xmlns:r="http://schemas.openxmlformats.org/officeDocument/2006/relationships" r:id="rId1"/>
          <a:extLst>
            <a:ext uri="{FF2B5EF4-FFF2-40B4-BE49-F238E27FC236}">
              <a16:creationId xmlns:a16="http://schemas.microsoft.com/office/drawing/2014/main" id="{00000000-0008-0000-0900-0000039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05508" y="1905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219075</xdr:colOff>
      <xdr:row>0</xdr:row>
      <xdr:rowOff>38100</xdr:rowOff>
    </xdr:from>
    <xdr:to>
      <xdr:col>2</xdr:col>
      <xdr:colOff>619125</xdr:colOff>
      <xdr:row>0</xdr:row>
      <xdr:rowOff>438150</xdr:rowOff>
    </xdr:to>
    <xdr:pic>
      <xdr:nvPicPr>
        <xdr:cNvPr id="41985" name="Picture 1">
          <a:hlinkClick xmlns:r="http://schemas.openxmlformats.org/officeDocument/2006/relationships" r:id="rId1"/>
          <a:extLst>
            <a:ext uri="{FF2B5EF4-FFF2-40B4-BE49-F238E27FC236}">
              <a16:creationId xmlns:a16="http://schemas.microsoft.com/office/drawing/2014/main" id="{00000000-0008-0000-0A00-000001A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719435" y="38100"/>
          <a:ext cx="4000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udgets%20mensuels%20dona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suel base 21"/>
      <sheetName val="prix de revient 21"/>
      <sheetName val="Mensuel base 22"/>
      <sheetName val="Mensuel base 22 revu"/>
      <sheetName val="prix de revient 22"/>
    </sheetNames>
    <sheetDataSet>
      <sheetData sheetId="0"/>
      <sheetData sheetId="1"/>
      <sheetData sheetId="2">
        <row r="20">
          <cell r="B20">
            <v>-3200</v>
          </cell>
          <cell r="C20">
            <v>-3200</v>
          </cell>
          <cell r="D20">
            <v>-3200</v>
          </cell>
          <cell r="E20">
            <v>0</v>
          </cell>
          <cell r="F20">
            <v>-3200</v>
          </cell>
          <cell r="G20">
            <v>-3200</v>
          </cell>
          <cell r="H20">
            <v>-3200</v>
          </cell>
          <cell r="I20">
            <v>-3200</v>
          </cell>
          <cell r="J20">
            <v>-3200</v>
          </cell>
          <cell r="K20">
            <v>0</v>
          </cell>
          <cell r="L20">
            <v>0</v>
          </cell>
          <cell r="M20">
            <v>-3200</v>
          </cell>
        </row>
      </sheetData>
      <sheetData sheetId="3"/>
      <sheetData sheetId="4"/>
    </sheetDataSet>
  </externalBook>
</externalLink>
</file>

<file path=xl/theme/theme1.xml><?xml version="1.0" encoding="utf-8"?>
<a:theme xmlns:a="http://schemas.openxmlformats.org/drawingml/2006/main" name="DI">
  <a:themeElements>
    <a:clrScheme name="Personnalisé 2">
      <a:dk1>
        <a:sysClr val="windowText" lastClr="000000"/>
      </a:dk1>
      <a:lt1>
        <a:sysClr val="window" lastClr="FFFFFF"/>
      </a:lt1>
      <a:dk2>
        <a:srgbClr val="44546A"/>
      </a:dk2>
      <a:lt2>
        <a:srgbClr val="E7E6E6"/>
      </a:lt2>
      <a:accent1>
        <a:srgbClr val="E2007B"/>
      </a:accent1>
      <a:accent2>
        <a:srgbClr val="00A096"/>
      </a:accent2>
      <a:accent3>
        <a:srgbClr val="F29400"/>
      </a:accent3>
      <a:accent4>
        <a:srgbClr val="97BF0D"/>
      </a:accent4>
      <a:accent5>
        <a:srgbClr val="6666FF"/>
      </a:accent5>
      <a:accent6>
        <a:srgbClr val="FFC000"/>
      </a:accent6>
      <a:hlink>
        <a:srgbClr val="44546A"/>
      </a:hlink>
      <a:folHlink>
        <a:srgbClr val="954F72"/>
      </a:folHlink>
    </a:clrScheme>
    <a:fontScheme name="DI">
      <a:majorFont>
        <a:latin typeface="Arial Narrow"/>
        <a:ea typeface=""/>
        <a:cs typeface=""/>
      </a:majorFont>
      <a:minorFont>
        <a:latin typeface="Arial Narrow"/>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1"/>
  <dimension ref="A1:F81"/>
  <sheetViews>
    <sheetView topLeftCell="A15" zoomScale="125" zoomScaleNormal="125" zoomScalePageLayoutView="125" workbookViewId="0">
      <selection activeCell="D23" sqref="D23"/>
    </sheetView>
  </sheetViews>
  <sheetFormatPr baseColWidth="10" defaultColWidth="10.84375" defaultRowHeight="12.9"/>
  <cols>
    <col min="1" max="2" width="27.3046875" style="4" customWidth="1"/>
    <col min="3" max="6" width="12.69140625" style="4" customWidth="1"/>
    <col min="7" max="16384" width="10.84375" style="4"/>
  </cols>
  <sheetData>
    <row r="1" spans="1:3" ht="36" customHeight="1">
      <c r="A1" s="297" t="s">
        <v>116</v>
      </c>
      <c r="B1" s="298"/>
      <c r="C1" s="299"/>
    </row>
    <row r="2" spans="1:3" ht="14.15">
      <c r="A2" s="17" t="s">
        <v>118</v>
      </c>
      <c r="B2" s="17" t="s">
        <v>117</v>
      </c>
      <c r="C2" s="17" t="s">
        <v>11</v>
      </c>
    </row>
    <row r="3" spans="1:3">
      <c r="A3" s="264">
        <v>0</v>
      </c>
      <c r="B3" s="260">
        <v>9600</v>
      </c>
      <c r="C3" s="261">
        <v>0</v>
      </c>
    </row>
    <row r="4" spans="1:3">
      <c r="A4" s="264">
        <f>B3</f>
        <v>9600</v>
      </c>
      <c r="B4" s="260">
        <v>17400</v>
      </c>
      <c r="C4" s="261">
        <v>5.3710000000000004</v>
      </c>
    </row>
    <row r="5" spans="1:3">
      <c r="A5" s="264">
        <f t="shared" ref="A5:A21" si="0">B4</f>
        <v>17400</v>
      </c>
      <c r="B5" s="262">
        <v>21400</v>
      </c>
      <c r="C5" s="261">
        <v>5.4939999999999998</v>
      </c>
    </row>
    <row r="6" spans="1:3">
      <c r="A6" s="264">
        <f t="shared" si="0"/>
        <v>21400</v>
      </c>
      <c r="B6" s="262">
        <v>23800</v>
      </c>
      <c r="C6" s="261">
        <v>5.617</v>
      </c>
    </row>
    <row r="7" spans="1:3">
      <c r="A7" s="264">
        <f t="shared" si="0"/>
        <v>23800</v>
      </c>
      <c r="B7" s="260">
        <v>26200</v>
      </c>
      <c r="C7" s="261">
        <v>5.7409999999999997</v>
      </c>
    </row>
    <row r="8" spans="1:3">
      <c r="A8" s="264">
        <f t="shared" si="0"/>
        <v>26200</v>
      </c>
      <c r="B8" s="262">
        <v>28600</v>
      </c>
      <c r="C8" s="261">
        <v>5.8639999999999999</v>
      </c>
    </row>
    <row r="9" spans="1:3">
      <c r="A9" s="264">
        <f t="shared" si="0"/>
        <v>28600</v>
      </c>
      <c r="B9" s="262">
        <v>31000</v>
      </c>
      <c r="C9" s="261">
        <v>5.9870000000000001</v>
      </c>
    </row>
    <row r="10" spans="1:3">
      <c r="A10" s="264">
        <f t="shared" si="0"/>
        <v>31000</v>
      </c>
      <c r="B10" s="262">
        <v>33400</v>
      </c>
      <c r="C10" s="261">
        <v>6.2350000000000003</v>
      </c>
    </row>
    <row r="11" spans="1:3">
      <c r="A11" s="264">
        <f t="shared" si="0"/>
        <v>33400</v>
      </c>
      <c r="B11" s="262">
        <v>35800</v>
      </c>
      <c r="C11" s="261">
        <v>6.4809999999999999</v>
      </c>
    </row>
    <row r="12" spans="1:3">
      <c r="A12" s="264">
        <f t="shared" si="0"/>
        <v>35800</v>
      </c>
      <c r="B12" s="260">
        <v>38200</v>
      </c>
      <c r="C12" s="261">
        <v>6.7279999999999998</v>
      </c>
    </row>
    <row r="13" spans="1:3">
      <c r="A13" s="264">
        <f t="shared" si="0"/>
        <v>38200</v>
      </c>
      <c r="B13" s="260">
        <v>40600</v>
      </c>
      <c r="C13" s="261">
        <v>6.976</v>
      </c>
    </row>
    <row r="14" spans="1:3">
      <c r="A14" s="264">
        <f t="shared" si="0"/>
        <v>40600</v>
      </c>
      <c r="B14" s="260">
        <v>43000</v>
      </c>
      <c r="C14" s="261">
        <v>7.2220000000000004</v>
      </c>
    </row>
    <row r="15" spans="1:3">
      <c r="A15" s="264">
        <f t="shared" si="0"/>
        <v>43000</v>
      </c>
      <c r="B15" s="262">
        <v>45400</v>
      </c>
      <c r="C15" s="261">
        <v>7.4690000000000003</v>
      </c>
    </row>
    <row r="16" spans="1:3">
      <c r="A16" s="264">
        <f t="shared" si="0"/>
        <v>45400</v>
      </c>
      <c r="B16" s="262">
        <v>47800</v>
      </c>
      <c r="C16" s="261">
        <v>7.84</v>
      </c>
    </row>
    <row r="17" spans="1:6">
      <c r="A17" s="264">
        <f t="shared" si="0"/>
        <v>47800</v>
      </c>
      <c r="B17" s="262">
        <v>50200</v>
      </c>
      <c r="C17" s="261">
        <v>8.2089999999999996</v>
      </c>
    </row>
    <row r="18" spans="1:6">
      <c r="A18" s="264">
        <f t="shared" si="0"/>
        <v>50200</v>
      </c>
      <c r="B18" s="262">
        <v>52600</v>
      </c>
      <c r="C18" s="261">
        <v>8.58</v>
      </c>
    </row>
    <row r="19" spans="1:6">
      <c r="A19" s="264">
        <f t="shared" si="0"/>
        <v>52600</v>
      </c>
      <c r="B19" s="262">
        <v>55000</v>
      </c>
      <c r="C19" s="261">
        <v>8.9510000000000005</v>
      </c>
    </row>
    <row r="20" spans="1:6">
      <c r="A20" s="264">
        <f t="shared" si="0"/>
        <v>55000</v>
      </c>
      <c r="B20" s="262">
        <v>57400</v>
      </c>
      <c r="C20" s="261">
        <v>9.3209999999999997</v>
      </c>
    </row>
    <row r="21" spans="1:6">
      <c r="A21" s="264">
        <f t="shared" si="0"/>
        <v>57400</v>
      </c>
      <c r="B21" s="262"/>
      <c r="C21" s="261">
        <v>10</v>
      </c>
    </row>
    <row r="22" spans="1:6">
      <c r="A22" s="295" t="s">
        <v>128</v>
      </c>
      <c r="B22" s="296"/>
      <c r="C22" s="5">
        <f>B3</f>
        <v>9600</v>
      </c>
      <c r="D22" s="5">
        <v>503</v>
      </c>
    </row>
    <row r="23" spans="1:6">
      <c r="A23" s="6" t="s">
        <v>313</v>
      </c>
      <c r="B23" s="7"/>
      <c r="C23" s="7"/>
      <c r="D23" s="7"/>
      <c r="E23" s="7"/>
      <c r="F23" s="7"/>
    </row>
    <row r="24" spans="1:6">
      <c r="A24" s="8" t="s">
        <v>119</v>
      </c>
      <c r="B24" s="9">
        <f>IF('Portrait de l''entreprise'!E5="Oui",'Portrait de l''entreprise'!F5,0)</f>
        <v>106200</v>
      </c>
      <c r="C24" s="8" t="s">
        <v>121</v>
      </c>
      <c r="D24" s="7" t="str">
        <f>Informations!B8</f>
        <v>NE</v>
      </c>
      <c r="E24" s="7"/>
      <c r="F24" s="7"/>
    </row>
    <row r="25" spans="1:6">
      <c r="A25" s="8" t="s">
        <v>120</v>
      </c>
      <c r="B25" s="9">
        <f>IF(AND(B24&lt;&gt;0,Informations!B23="Raison individuelle"),'Bilan initial'!B33,IF(AND(B24&lt;&gt;0,Informations!B23="Société en noms collectif"),Informations!B44,0))</f>
        <v>-34938</v>
      </c>
      <c r="C25" s="8" t="s">
        <v>121</v>
      </c>
      <c r="D25" s="7"/>
      <c r="E25" s="7"/>
      <c r="F25" s="7"/>
    </row>
    <row r="26" spans="1:6">
      <c r="A26" s="8" t="s">
        <v>129</v>
      </c>
      <c r="B26" s="9">
        <f>IF(B25="","",B25*B30/100)</f>
        <v>-174.69</v>
      </c>
      <c r="C26" s="8"/>
      <c r="D26" s="7"/>
      <c r="E26" s="7"/>
      <c r="F26" s="7"/>
    </row>
    <row r="27" spans="1:6">
      <c r="A27" s="8" t="s">
        <v>130</v>
      </c>
      <c r="B27" s="9">
        <f>FLOOR(IF(AND(B24&lt;&gt;"",B26&lt;&gt;""),B24-B26,""),100)</f>
        <v>106300</v>
      </c>
      <c r="C27" s="8"/>
      <c r="D27" s="7"/>
      <c r="E27" s="7"/>
      <c r="F27" s="7"/>
    </row>
    <row r="28" spans="1:6">
      <c r="A28" s="10" t="s">
        <v>123</v>
      </c>
      <c r="B28" s="11">
        <f>IF(B27&lt;&gt;"",VLOOKUP(B27,A3:C21,3),"")</f>
        <v>10</v>
      </c>
      <c r="C28" s="8" t="s">
        <v>11</v>
      </c>
      <c r="D28" s="7"/>
      <c r="E28" s="7"/>
      <c r="F28" s="7"/>
    </row>
    <row r="29" spans="1:6">
      <c r="A29" s="8"/>
      <c r="B29" s="9"/>
      <c r="C29" s="8"/>
      <c r="D29" s="7"/>
      <c r="E29" s="7"/>
      <c r="F29" s="7"/>
    </row>
    <row r="30" spans="1:6">
      <c r="A30" s="8" t="s">
        <v>131</v>
      </c>
      <c r="B30" s="12">
        <v>0.5</v>
      </c>
      <c r="C30" s="8" t="s">
        <v>11</v>
      </c>
      <c r="D30" s="7"/>
      <c r="E30" s="7"/>
      <c r="F30" s="7"/>
    </row>
    <row r="31" spans="1:6">
      <c r="A31" s="8" t="s">
        <v>122</v>
      </c>
      <c r="B31" s="8">
        <v>3</v>
      </c>
      <c r="C31" s="8" t="s">
        <v>11</v>
      </c>
      <c r="D31" s="7"/>
      <c r="E31" s="7"/>
      <c r="F31" s="7"/>
    </row>
    <row r="32" spans="1:6">
      <c r="A32" s="8" t="s">
        <v>127</v>
      </c>
      <c r="B32" s="8">
        <v>0</v>
      </c>
      <c r="C32" s="8"/>
      <c r="D32" s="7"/>
      <c r="E32" s="7"/>
      <c r="F32" s="7"/>
    </row>
    <row r="33" spans="1:6">
      <c r="A33" s="8" t="s">
        <v>223</v>
      </c>
      <c r="B33" s="8">
        <v>2.1</v>
      </c>
      <c r="C33" s="8" t="s">
        <v>11</v>
      </c>
      <c r="D33" s="7"/>
      <c r="E33" s="7"/>
      <c r="F33" s="7"/>
    </row>
    <row r="34" spans="1:6">
      <c r="A34" s="8" t="s">
        <v>124</v>
      </c>
      <c r="B34" s="9">
        <f>IF(B27=0,0,IF(B27&lt;C22,D22,(B27*B28)/100))</f>
        <v>10630</v>
      </c>
      <c r="C34" s="8" t="s">
        <v>121</v>
      </c>
      <c r="D34" s="7"/>
      <c r="E34" s="7"/>
      <c r="F34" s="7"/>
    </row>
    <row r="35" spans="1:6">
      <c r="A35" s="10" t="s">
        <v>125</v>
      </c>
      <c r="B35" s="9">
        <f>IF(B34="","",(B34*B31/100))</f>
        <v>318.89999999999998</v>
      </c>
      <c r="C35" s="8" t="s">
        <v>121</v>
      </c>
      <c r="D35" s="7"/>
      <c r="E35" s="7"/>
      <c r="F35" s="7"/>
    </row>
    <row r="36" spans="1:6">
      <c r="A36" s="8" t="s">
        <v>126</v>
      </c>
      <c r="B36" s="9">
        <f>ROUND((B34+B35)*20,0)/20</f>
        <v>10948.9</v>
      </c>
      <c r="C36" s="8" t="s">
        <v>121</v>
      </c>
      <c r="D36" s="7"/>
      <c r="E36" s="7"/>
      <c r="F36" s="7"/>
    </row>
    <row r="37" spans="1:6">
      <c r="A37" s="7" t="s">
        <v>303</v>
      </c>
      <c r="B37" s="9">
        <f>B27*B33/100</f>
        <v>2232.3000000000002</v>
      </c>
      <c r="C37" s="7" t="s">
        <v>121</v>
      </c>
      <c r="D37" s="7"/>
      <c r="E37" s="7"/>
      <c r="F37" s="7"/>
    </row>
    <row r="38" spans="1:6">
      <c r="A38" s="7" t="s">
        <v>225</v>
      </c>
      <c r="B38" s="13">
        <f>B36+B37</f>
        <v>13181.2</v>
      </c>
      <c r="C38" s="8" t="s">
        <v>121</v>
      </c>
      <c r="D38" s="7"/>
      <c r="E38" s="7"/>
      <c r="F38" s="7"/>
    </row>
    <row r="39" spans="1:6">
      <c r="C39" s="7"/>
      <c r="D39" s="7"/>
      <c r="E39" s="7"/>
      <c r="F39" s="7"/>
    </row>
    <row r="40" spans="1:6">
      <c r="A40" s="8"/>
      <c r="B40" s="8"/>
      <c r="C40" s="7"/>
      <c r="D40" s="7"/>
      <c r="E40" s="7"/>
      <c r="F40" s="7"/>
    </row>
    <row r="41" spans="1:6">
      <c r="A41" s="7"/>
      <c r="B41" s="7"/>
      <c r="C41" s="7"/>
      <c r="D41" s="7"/>
      <c r="E41" s="7"/>
      <c r="F41" s="7"/>
    </row>
    <row r="42" spans="1:6">
      <c r="A42" s="14" t="s">
        <v>312</v>
      </c>
    </row>
    <row r="43" spans="1:6">
      <c r="A43" s="8" t="s">
        <v>119</v>
      </c>
      <c r="B43" s="9">
        <f>IF('Portrait de l''entreprise'!E6="Oui",'Portrait de l''entreprise'!F6,0)</f>
        <v>0</v>
      </c>
      <c r="C43" s="8" t="s">
        <v>121</v>
      </c>
    </row>
    <row r="44" spans="1:6">
      <c r="A44" s="8" t="s">
        <v>120</v>
      </c>
      <c r="B44" s="9">
        <f>IF(AND(B43&lt;&gt;0,Informations!B23="Raison individuelle"),'Bilan initial'!B33,IF(AND(B43&lt;&gt;0,Informations!B23="Société en noms collectif"),Informations!B45,0))</f>
        <v>0</v>
      </c>
      <c r="C44" s="8" t="s">
        <v>121</v>
      </c>
    </row>
    <row r="45" spans="1:6">
      <c r="A45" s="8" t="s">
        <v>129</v>
      </c>
      <c r="B45" s="9">
        <f>IF(B44="","",B44*B49/100)</f>
        <v>0</v>
      </c>
      <c r="C45" s="8"/>
    </row>
    <row r="46" spans="1:6">
      <c r="A46" s="8" t="s">
        <v>130</v>
      </c>
      <c r="B46" s="9">
        <f>IF(AND(B43&lt;&gt;"",B45&lt;&gt;""),B43-B45,"")</f>
        <v>0</v>
      </c>
      <c r="C46" s="8"/>
    </row>
    <row r="47" spans="1:6">
      <c r="A47" s="10" t="s">
        <v>123</v>
      </c>
      <c r="B47" s="11">
        <f>IF(B46&lt;&gt;"",VLOOKUP(B46,A3:C21,3),"")</f>
        <v>0</v>
      </c>
      <c r="C47" s="8" t="s">
        <v>11</v>
      </c>
    </row>
    <row r="48" spans="1:6">
      <c r="A48" s="8"/>
      <c r="B48" s="9"/>
      <c r="C48" s="8"/>
    </row>
    <row r="49" spans="1:3">
      <c r="A49" s="8" t="s">
        <v>131</v>
      </c>
      <c r="B49" s="12">
        <f>B30</f>
        <v>0.5</v>
      </c>
      <c r="C49" s="8" t="s">
        <v>11</v>
      </c>
    </row>
    <row r="50" spans="1:3">
      <c r="A50" s="8" t="s">
        <v>122</v>
      </c>
      <c r="B50" s="8">
        <f>B31</f>
        <v>3</v>
      </c>
      <c r="C50" s="8" t="s">
        <v>11</v>
      </c>
    </row>
    <row r="51" spans="1:3">
      <c r="A51" s="8" t="s">
        <v>127</v>
      </c>
      <c r="B51" s="8">
        <f>B32</f>
        <v>0</v>
      </c>
      <c r="C51" s="8"/>
    </row>
    <row r="52" spans="1:3">
      <c r="A52" s="8" t="s">
        <v>223</v>
      </c>
      <c r="B52" s="8">
        <f>B33</f>
        <v>2.1</v>
      </c>
      <c r="C52" s="8" t="s">
        <v>11</v>
      </c>
    </row>
    <row r="53" spans="1:3">
      <c r="A53" s="8" t="s">
        <v>124</v>
      </c>
      <c r="B53" s="9">
        <f>IF(B46=0,0,IF(B46&lt;C22,D22,(B46*B47)/100))</f>
        <v>0</v>
      </c>
      <c r="C53" s="8" t="s">
        <v>121</v>
      </c>
    </row>
    <row r="54" spans="1:3">
      <c r="A54" s="10" t="s">
        <v>125</v>
      </c>
      <c r="B54" s="9">
        <f>IF(B53="","",(B53*B50/100))</f>
        <v>0</v>
      </c>
      <c r="C54" s="8" t="s">
        <v>121</v>
      </c>
    </row>
    <row r="55" spans="1:3">
      <c r="A55" s="8" t="s">
        <v>126</v>
      </c>
      <c r="B55" s="9">
        <f>ROUND((B53+B54)*20,0)/20</f>
        <v>0</v>
      </c>
      <c r="C55" s="8" t="s">
        <v>121</v>
      </c>
    </row>
    <row r="56" spans="1:3">
      <c r="A56" s="7" t="s">
        <v>303</v>
      </c>
      <c r="B56" s="9">
        <f>B46*B52/100</f>
        <v>0</v>
      </c>
      <c r="C56" s="7" t="s">
        <v>121</v>
      </c>
    </row>
    <row r="57" spans="1:3">
      <c r="A57" s="7" t="s">
        <v>225</v>
      </c>
      <c r="B57" s="13">
        <f>B55+B56</f>
        <v>0</v>
      </c>
      <c r="C57" s="8" t="s">
        <v>121</v>
      </c>
    </row>
    <row r="61" spans="1:3">
      <c r="A61" s="14" t="s">
        <v>314</v>
      </c>
    </row>
    <row r="62" spans="1:3">
      <c r="A62" s="8" t="s">
        <v>119</v>
      </c>
      <c r="B62" s="9">
        <f>IF('Portrait de l''entreprise'!E7="Oui",'Portrait de l''entreprise'!F7,0)</f>
        <v>0</v>
      </c>
      <c r="C62" s="8" t="s">
        <v>121</v>
      </c>
    </row>
    <row r="63" spans="1:3">
      <c r="A63" s="8" t="s">
        <v>120</v>
      </c>
      <c r="B63" s="9">
        <f>IF(AND(B62&lt;&gt;0,Informations!B23="Raison individuelle"),'Bilan initial'!B33,IF(AND(B62&lt;&gt;0,Informations!B23="Société en noms collectif"),Informations!B46,0))</f>
        <v>0</v>
      </c>
      <c r="C63" s="8" t="s">
        <v>121</v>
      </c>
    </row>
    <row r="64" spans="1:3">
      <c r="A64" s="8" t="s">
        <v>129</v>
      </c>
      <c r="B64" s="9">
        <f>IF(B63="","",B63*B68/100)</f>
        <v>0</v>
      </c>
      <c r="C64" s="8"/>
    </row>
    <row r="65" spans="1:3">
      <c r="A65" s="8" t="s">
        <v>130</v>
      </c>
      <c r="B65" s="9">
        <f>IF(AND(B62&lt;&gt;"",B64&lt;&gt;""),B62-B64,"")</f>
        <v>0</v>
      </c>
      <c r="C65" s="8"/>
    </row>
    <row r="66" spans="1:3">
      <c r="A66" s="10" t="s">
        <v>123</v>
      </c>
      <c r="B66" s="11">
        <f>IF(B62&lt;&gt;"",VLOOKUP(B62,A3:C21,3),"")</f>
        <v>0</v>
      </c>
      <c r="C66" s="8" t="s">
        <v>11</v>
      </c>
    </row>
    <row r="67" spans="1:3">
      <c r="A67" s="8"/>
      <c r="B67" s="9"/>
      <c r="C67" s="8"/>
    </row>
    <row r="68" spans="1:3">
      <c r="A68" s="8" t="s">
        <v>131</v>
      </c>
      <c r="B68" s="12">
        <f>B49</f>
        <v>0.5</v>
      </c>
      <c r="C68" s="8" t="s">
        <v>11</v>
      </c>
    </row>
    <row r="69" spans="1:3">
      <c r="A69" s="8" t="s">
        <v>122</v>
      </c>
      <c r="B69" s="8">
        <f>B50</f>
        <v>3</v>
      </c>
      <c r="C69" s="8" t="s">
        <v>11</v>
      </c>
    </row>
    <row r="70" spans="1:3">
      <c r="A70" s="8" t="s">
        <v>127</v>
      </c>
      <c r="B70" s="8">
        <f>B51</f>
        <v>0</v>
      </c>
      <c r="C70" s="8"/>
    </row>
    <row r="71" spans="1:3">
      <c r="A71" s="8" t="s">
        <v>223</v>
      </c>
      <c r="B71" s="8">
        <f>B52</f>
        <v>2.1</v>
      </c>
      <c r="C71" s="8" t="s">
        <v>11</v>
      </c>
    </row>
    <row r="72" spans="1:3">
      <c r="A72" s="8" t="s">
        <v>124</v>
      </c>
      <c r="B72" s="9" t="str">
        <f>IF(B65=0,"0",IF(B65&lt;C22,D22,(B65*B66)/100))</f>
        <v>0</v>
      </c>
      <c r="C72" s="8" t="s">
        <v>121</v>
      </c>
    </row>
    <row r="73" spans="1:3">
      <c r="A73" s="10" t="s">
        <v>125</v>
      </c>
      <c r="B73" s="9">
        <f>IF(B72="","",(B72*B69/100))</f>
        <v>0</v>
      </c>
      <c r="C73" s="8" t="s">
        <v>121</v>
      </c>
    </row>
    <row r="74" spans="1:3">
      <c r="A74" s="8" t="s">
        <v>126</v>
      </c>
      <c r="B74" s="9">
        <f>ROUND((B72+B73)*20,0)/20</f>
        <v>0</v>
      </c>
      <c r="C74" s="8" t="s">
        <v>121</v>
      </c>
    </row>
    <row r="75" spans="1:3">
      <c r="A75" s="7" t="s">
        <v>303</v>
      </c>
      <c r="B75" s="9">
        <f>B65*B71/100</f>
        <v>0</v>
      </c>
      <c r="C75" s="7" t="s">
        <v>121</v>
      </c>
    </row>
    <row r="76" spans="1:3">
      <c r="A76" s="7" t="s">
        <v>225</v>
      </c>
      <c r="B76" s="13">
        <f>B74+B75</f>
        <v>0</v>
      </c>
      <c r="C76" s="8" t="s">
        <v>121</v>
      </c>
    </row>
    <row r="78" spans="1:3">
      <c r="A78" s="6" t="s">
        <v>316</v>
      </c>
    </row>
    <row r="79" spans="1:3">
      <c r="A79" s="7" t="s">
        <v>310</v>
      </c>
      <c r="B79" s="13">
        <f>B36+B55+B74</f>
        <v>10948.9</v>
      </c>
    </row>
    <row r="80" spans="1:3">
      <c r="A80" s="7" t="s">
        <v>311</v>
      </c>
      <c r="B80" s="13">
        <f>B37+B56+B75</f>
        <v>2232.3000000000002</v>
      </c>
    </row>
    <row r="81" spans="1:2">
      <c r="A81" s="15" t="s">
        <v>315</v>
      </c>
      <c r="B81" s="16">
        <f>B79+B80</f>
        <v>13181.2</v>
      </c>
    </row>
  </sheetData>
  <mergeCells count="2">
    <mergeCell ref="A22:B22"/>
    <mergeCell ref="A1:C1"/>
  </mergeCells>
  <phoneticPr fontId="0" type="noConversion"/>
  <pageMargins left="0.78740157480314965" right="0.78740157480314965" top="0.98425196850393704" bottom="0.6692913385826772" header="0.51181102362204722" footer="0.51181102362204722"/>
  <pageSetup paperSize="9"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5"/>
    <pageSetUpPr fitToPage="1"/>
  </sheetPr>
  <dimension ref="A1:P35"/>
  <sheetViews>
    <sheetView topLeftCell="A4" workbookViewId="0">
      <selection activeCell="A30" sqref="A30:D35"/>
    </sheetView>
  </sheetViews>
  <sheetFormatPr baseColWidth="10" defaultColWidth="10.84375" defaultRowHeight="12.9"/>
  <cols>
    <col min="1" max="1" width="46" style="18" customWidth="1"/>
    <col min="2" max="2" width="10.69140625" style="18" customWidth="1"/>
    <col min="3" max="4" width="45.3046875" style="18" customWidth="1"/>
    <col min="5" max="256" width="9.15234375" style="18" customWidth="1"/>
    <col min="257" max="16384" width="10.84375" style="18"/>
  </cols>
  <sheetData>
    <row r="1" spans="1:16" ht="36" customHeight="1">
      <c r="A1" s="341" t="s">
        <v>255</v>
      </c>
      <c r="B1" s="341"/>
      <c r="C1" s="341"/>
      <c r="D1" s="341"/>
      <c r="E1" s="72"/>
      <c r="F1" s="72"/>
      <c r="G1" s="72"/>
      <c r="H1" s="72"/>
      <c r="I1" s="72"/>
      <c r="J1" s="72"/>
      <c r="K1" s="72"/>
      <c r="L1" s="92"/>
      <c r="M1" s="92"/>
      <c r="N1" s="92"/>
      <c r="O1" s="92"/>
      <c r="P1" s="92"/>
    </row>
    <row r="3" spans="1:16" ht="15" customHeight="1">
      <c r="A3" s="346" t="s">
        <v>283</v>
      </c>
      <c r="B3" s="346"/>
      <c r="C3" s="346"/>
      <c r="D3" s="346"/>
    </row>
    <row r="4" spans="1:16">
      <c r="A4" s="374" t="s">
        <v>491</v>
      </c>
      <c r="B4" s="395"/>
      <c r="C4" s="395"/>
      <c r="D4" s="396"/>
    </row>
    <row r="5" spans="1:16">
      <c r="A5" s="397"/>
      <c r="B5" s="398"/>
      <c r="C5" s="398"/>
      <c r="D5" s="399"/>
    </row>
    <row r="6" spans="1:16">
      <c r="A6" s="397"/>
      <c r="B6" s="398"/>
      <c r="C6" s="398"/>
      <c r="D6" s="399"/>
    </row>
    <row r="7" spans="1:16">
      <c r="A7" s="397"/>
      <c r="B7" s="398"/>
      <c r="C7" s="398"/>
      <c r="D7" s="399"/>
    </row>
    <row r="8" spans="1:16">
      <c r="A8" s="397"/>
      <c r="B8" s="398"/>
      <c r="C8" s="398"/>
      <c r="D8" s="399"/>
    </row>
    <row r="9" spans="1:16">
      <c r="A9" s="400"/>
      <c r="B9" s="401"/>
      <c r="C9" s="401"/>
      <c r="D9" s="402"/>
    </row>
    <row r="10" spans="1:16">
      <c r="A10" s="93"/>
      <c r="B10" s="93"/>
      <c r="C10" s="93"/>
      <c r="D10" s="93"/>
    </row>
    <row r="11" spans="1:16" ht="15" customHeight="1">
      <c r="A11" s="346" t="s">
        <v>284</v>
      </c>
      <c r="B11" s="346"/>
      <c r="C11" s="346"/>
      <c r="D11" s="346"/>
    </row>
    <row r="12" spans="1:16" ht="12.75" customHeight="1">
      <c r="A12" s="374" t="s">
        <v>414</v>
      </c>
      <c r="B12" s="375"/>
      <c r="C12" s="375"/>
      <c r="D12" s="376"/>
    </row>
    <row r="13" spans="1:16" ht="12.75" customHeight="1">
      <c r="A13" s="392"/>
      <c r="B13" s="393"/>
      <c r="C13" s="393"/>
      <c r="D13" s="394"/>
    </row>
    <row r="14" spans="1:16" ht="12.75" customHeight="1">
      <c r="A14" s="392"/>
      <c r="B14" s="393"/>
      <c r="C14" s="393"/>
      <c r="D14" s="394"/>
    </row>
    <row r="15" spans="1:16" ht="12.75" customHeight="1">
      <c r="A15" s="392"/>
      <c r="B15" s="393"/>
      <c r="C15" s="393"/>
      <c r="D15" s="394"/>
    </row>
    <row r="16" spans="1:16" ht="12.75" customHeight="1">
      <c r="A16" s="392"/>
      <c r="B16" s="393"/>
      <c r="C16" s="393"/>
      <c r="D16" s="394"/>
    </row>
    <row r="17" spans="1:7">
      <c r="A17" s="377"/>
      <c r="B17" s="378"/>
      <c r="C17" s="378"/>
      <c r="D17" s="379"/>
      <c r="G17" s="52"/>
    </row>
    <row r="18" spans="1:7">
      <c r="A18" s="94"/>
      <c r="B18" s="94"/>
      <c r="C18" s="94"/>
      <c r="D18" s="94"/>
      <c r="G18" s="52"/>
    </row>
    <row r="19" spans="1:7" ht="15" customHeight="1">
      <c r="A19" s="346" t="s">
        <v>301</v>
      </c>
      <c r="B19" s="346"/>
      <c r="C19" s="346"/>
      <c r="D19" s="346"/>
      <c r="G19" s="52"/>
    </row>
    <row r="20" spans="1:7">
      <c r="A20" s="68" t="s">
        <v>114</v>
      </c>
      <c r="B20" s="68" t="s">
        <v>287</v>
      </c>
      <c r="C20" s="68" t="s">
        <v>285</v>
      </c>
      <c r="D20" s="68" t="s">
        <v>286</v>
      </c>
      <c r="F20" s="95"/>
      <c r="G20" s="52" t="s">
        <v>288</v>
      </c>
    </row>
    <row r="21" spans="1:7">
      <c r="A21" s="251" t="s">
        <v>415</v>
      </c>
      <c r="B21" s="252" t="s">
        <v>288</v>
      </c>
      <c r="C21" s="241" t="s">
        <v>418</v>
      </c>
      <c r="D21" s="241" t="s">
        <v>419</v>
      </c>
      <c r="F21" s="95"/>
      <c r="G21" s="52" t="s">
        <v>289</v>
      </c>
    </row>
    <row r="22" spans="1:7">
      <c r="A22" s="251" t="s">
        <v>416</v>
      </c>
      <c r="B22" s="263" t="s">
        <v>288</v>
      </c>
      <c r="C22" s="263" t="s">
        <v>420</v>
      </c>
      <c r="D22" s="241" t="s">
        <v>421</v>
      </c>
      <c r="F22" s="95"/>
      <c r="G22" s="52"/>
    </row>
    <row r="23" spans="1:7">
      <c r="A23" s="251" t="s">
        <v>417</v>
      </c>
      <c r="B23" s="252" t="s">
        <v>288</v>
      </c>
      <c r="C23" s="241" t="s">
        <v>422</v>
      </c>
      <c r="D23" s="241" t="s">
        <v>423</v>
      </c>
      <c r="F23" s="95" t="s">
        <v>288</v>
      </c>
      <c r="G23" s="52"/>
    </row>
    <row r="24" spans="1:7">
      <c r="A24" s="245"/>
      <c r="B24" s="245"/>
      <c r="C24" s="252"/>
      <c r="D24" s="241" t="s">
        <v>387</v>
      </c>
      <c r="F24" s="95" t="s">
        <v>289</v>
      </c>
      <c r="G24" s="52"/>
    </row>
    <row r="25" spans="1:7">
      <c r="A25" s="245"/>
      <c r="B25" s="245"/>
      <c r="C25" s="252"/>
      <c r="D25" s="252"/>
      <c r="F25" s="95"/>
      <c r="G25" s="52"/>
    </row>
    <row r="26" spans="1:7">
      <c r="A26" s="245"/>
      <c r="B26" s="245"/>
      <c r="C26" s="252"/>
      <c r="D26" s="252"/>
      <c r="F26" s="95"/>
    </row>
    <row r="27" spans="1:7">
      <c r="A27" s="83"/>
      <c r="B27" s="77"/>
      <c r="C27" s="77"/>
      <c r="D27" s="77"/>
      <c r="F27" s="95"/>
    </row>
    <row r="28" spans="1:7">
      <c r="A28" s="96"/>
      <c r="B28" s="97"/>
      <c r="C28" s="97"/>
      <c r="D28" s="97"/>
      <c r="F28" s="95"/>
    </row>
    <row r="29" spans="1:7" ht="15" customHeight="1">
      <c r="A29" s="346" t="s">
        <v>272</v>
      </c>
      <c r="B29" s="346"/>
      <c r="C29" s="346"/>
      <c r="D29" s="346"/>
    </row>
    <row r="30" spans="1:7" ht="15" customHeight="1">
      <c r="A30" s="374" t="s">
        <v>424</v>
      </c>
      <c r="B30" s="375"/>
      <c r="C30" s="375"/>
      <c r="D30" s="376"/>
    </row>
    <row r="31" spans="1:7" ht="15" customHeight="1">
      <c r="A31" s="392"/>
      <c r="B31" s="393"/>
      <c r="C31" s="393"/>
      <c r="D31" s="394"/>
    </row>
    <row r="32" spans="1:7" ht="15" customHeight="1">
      <c r="A32" s="392"/>
      <c r="B32" s="393"/>
      <c r="C32" s="393"/>
      <c r="D32" s="394"/>
    </row>
    <row r="33" spans="1:4" ht="15" customHeight="1">
      <c r="A33" s="392"/>
      <c r="B33" s="393"/>
      <c r="C33" s="393"/>
      <c r="D33" s="394"/>
    </row>
    <row r="34" spans="1:4" ht="15" customHeight="1">
      <c r="A34" s="392"/>
      <c r="B34" s="393"/>
      <c r="C34" s="393"/>
      <c r="D34" s="394"/>
    </row>
    <row r="35" spans="1:4" ht="15" customHeight="1">
      <c r="A35" s="377"/>
      <c r="B35" s="378"/>
      <c r="C35" s="378"/>
      <c r="D35" s="379"/>
    </row>
  </sheetData>
  <sheetProtection password="C628" sheet="1" objects="1" scenarios="1"/>
  <mergeCells count="8">
    <mergeCell ref="A30:D35"/>
    <mergeCell ref="A3:D3"/>
    <mergeCell ref="A1:D1"/>
    <mergeCell ref="A11:D11"/>
    <mergeCell ref="A19:D19"/>
    <mergeCell ref="A29:D29"/>
    <mergeCell ref="A4:D9"/>
    <mergeCell ref="A12:D17"/>
  </mergeCells>
  <phoneticPr fontId="0" type="noConversion"/>
  <dataValidations count="1">
    <dataValidation type="list" allowBlank="1" showInputMessage="1" showErrorMessage="1" sqref="B21:B28" xr:uid="{00000000-0002-0000-0900-000000000000}">
      <formula1>$G$20:$G$21</formula1>
    </dataValidation>
  </dataValidations>
  <printOptions horizontalCentered="1"/>
  <pageMargins left="0.39000000000000007" right="0.39000000000000007" top="0.39000000000000007" bottom="0.39000000000000007" header="0.51" footer="0.39000000000000007"/>
  <pageSetup paperSize="9" scale="96" orientation="landscape" r:id="rId1"/>
  <headerFooter scaleWithDoc="0">
    <oddFooter>&amp;R&amp;K433B547</oddFooter>
  </headerFooter>
  <drawing r:id="rId2"/>
  <legacyDrawing r:id="rId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theme="3"/>
    <pageSetUpPr fitToPage="1"/>
  </sheetPr>
  <dimension ref="A1:K36"/>
  <sheetViews>
    <sheetView showZeros="0" topLeftCell="A7" workbookViewId="0">
      <selection activeCell="B34" sqref="B34"/>
    </sheetView>
  </sheetViews>
  <sheetFormatPr baseColWidth="10" defaultColWidth="9.15234375" defaultRowHeight="12.9"/>
  <cols>
    <col min="1" max="1" width="130.15234375" style="21" customWidth="1"/>
    <col min="2" max="2" width="23" style="21" customWidth="1"/>
    <col min="3" max="3" width="11.3828125" style="21" customWidth="1"/>
    <col min="4" max="4" width="11.3046875" style="21" bestFit="1" customWidth="1"/>
    <col min="5" max="16384" width="9.15234375" style="21"/>
  </cols>
  <sheetData>
    <row r="1" spans="1:11" ht="36" customHeight="1">
      <c r="A1" s="403" t="str">
        <f>CONCATENATE("7. Bilan initial au"," ",TEXT(Informations!B25,"jj.mm.aaaa"))</f>
        <v>7. Bilan initial au 01.01.2021</v>
      </c>
      <c r="B1" s="403"/>
      <c r="C1" s="89"/>
      <c r="D1" s="89"/>
      <c r="E1" s="89"/>
      <c r="F1" s="89"/>
      <c r="G1" s="89"/>
      <c r="H1" s="89"/>
      <c r="I1" s="89"/>
      <c r="J1" s="89"/>
      <c r="K1" s="89"/>
    </row>
    <row r="2" spans="1:11" ht="18">
      <c r="A2" s="90"/>
      <c r="B2" s="91"/>
    </row>
    <row r="3" spans="1:11" ht="15.75" customHeight="1">
      <c r="A3" s="172" t="s">
        <v>348</v>
      </c>
      <c r="B3" s="173" t="str">
        <f>IF(ROUND(B19,0)=ROUND(B36,0),"V","X")</f>
        <v>V</v>
      </c>
    </row>
    <row r="4" spans="1:11" ht="15.75" customHeight="1">
      <c r="A4" s="174" t="s">
        <v>216</v>
      </c>
      <c r="B4" s="175"/>
    </row>
    <row r="5" spans="1:11" ht="15.75" customHeight="1">
      <c r="A5" s="176" t="s">
        <v>337</v>
      </c>
      <c r="B5" s="177">
        <v>230</v>
      </c>
    </row>
    <row r="6" spans="1:11" ht="15.75" customHeight="1">
      <c r="A6" s="176" t="s">
        <v>187</v>
      </c>
      <c r="B6" s="177">
        <v>1500</v>
      </c>
    </row>
    <row r="7" spans="1:11" ht="15.75" customHeight="1">
      <c r="A7" s="176" t="s">
        <v>44</v>
      </c>
      <c r="B7" s="177">
        <v>0</v>
      </c>
    </row>
    <row r="8" spans="1:11" ht="15.75" customHeight="1">
      <c r="A8" s="178" t="s">
        <v>215</v>
      </c>
      <c r="B8" s="179">
        <f>SUM(B5:B7)</f>
        <v>1730</v>
      </c>
    </row>
    <row r="9" spans="1:11" customFormat="1" ht="15.75" customHeight="1"/>
    <row r="10" spans="1:11" ht="15.75" customHeight="1">
      <c r="A10" s="180" t="s">
        <v>214</v>
      </c>
      <c r="B10" s="181"/>
    </row>
    <row r="11" spans="1:11" ht="15.75" customHeight="1">
      <c r="A11" s="176" t="s">
        <v>205</v>
      </c>
      <c r="B11" s="182"/>
    </row>
    <row r="12" spans="1:11" ht="15.75" customHeight="1">
      <c r="A12" s="176" t="s">
        <v>338</v>
      </c>
      <c r="B12" s="182">
        <f>Inventaire_Immobilisations!B7</f>
        <v>2000</v>
      </c>
    </row>
    <row r="13" spans="1:11" ht="15.75" customHeight="1">
      <c r="A13" s="176" t="s">
        <v>163</v>
      </c>
      <c r="B13" s="182">
        <f>Inventaire_Immobilisations!B13</f>
        <v>0</v>
      </c>
    </row>
    <row r="14" spans="1:11" ht="15.75" customHeight="1">
      <c r="A14" s="176" t="s">
        <v>45</v>
      </c>
      <c r="B14" s="182">
        <f>Inventaire_Immobilisations!B19</f>
        <v>66666</v>
      </c>
    </row>
    <row r="15" spans="1:11" ht="15.75" customHeight="1">
      <c r="A15" s="176" t="s">
        <v>46</v>
      </c>
      <c r="B15" s="182">
        <f>Inventaire_Immobilisations!B25</f>
        <v>0</v>
      </c>
    </row>
    <row r="16" spans="1:11" ht="15.75" customHeight="1">
      <c r="A16" s="176" t="s">
        <v>188</v>
      </c>
      <c r="B16" s="182">
        <f>Inventaire_Immobilisations!B31</f>
        <v>6666</v>
      </c>
    </row>
    <row r="17" spans="1:2" ht="15.75" customHeight="1">
      <c r="A17" s="178" t="s">
        <v>47</v>
      </c>
      <c r="B17" s="179">
        <f>SUM(B11:B16)</f>
        <v>75332</v>
      </c>
    </row>
    <row r="18" spans="1:2" customFormat="1" ht="15.75" customHeight="1"/>
    <row r="19" spans="1:2" ht="15.75" customHeight="1">
      <c r="A19" s="183" t="s">
        <v>48</v>
      </c>
      <c r="B19" s="184">
        <f>B8+B17</f>
        <v>77062</v>
      </c>
    </row>
    <row r="20" spans="1:2" customFormat="1" ht="15.75" customHeight="1"/>
    <row r="21" spans="1:2" ht="15.75" customHeight="1">
      <c r="A21" s="172" t="s">
        <v>349</v>
      </c>
      <c r="B21" s="185"/>
    </row>
    <row r="22" spans="1:2" ht="15.75" customHeight="1">
      <c r="A22" s="174" t="s">
        <v>208</v>
      </c>
      <c r="B22" s="174"/>
    </row>
    <row r="23" spans="1:2" ht="15.75" customHeight="1">
      <c r="A23" s="176" t="s">
        <v>203</v>
      </c>
      <c r="B23" s="177">
        <v>32000</v>
      </c>
    </row>
    <row r="24" spans="1:2" ht="15.75" customHeight="1">
      <c r="A24" s="176" t="s">
        <v>299</v>
      </c>
      <c r="B24" s="177"/>
    </row>
    <row r="25" spans="1:2" ht="15.75" customHeight="1">
      <c r="A25" s="178" t="s">
        <v>209</v>
      </c>
      <c r="B25" s="179">
        <f>SUM(B23:B24)</f>
        <v>32000</v>
      </c>
    </row>
    <row r="26" spans="1:2" customFormat="1" ht="15.75" customHeight="1"/>
    <row r="27" spans="1:2" ht="15.75" customHeight="1">
      <c r="A27" s="174" t="s">
        <v>210</v>
      </c>
      <c r="B27" s="181"/>
    </row>
    <row r="28" spans="1:2" ht="15.75" customHeight="1">
      <c r="A28" s="176" t="s">
        <v>206</v>
      </c>
      <c r="B28" s="177">
        <v>80000</v>
      </c>
    </row>
    <row r="29" spans="1:2" ht="15.75" customHeight="1">
      <c r="A29" s="176" t="s">
        <v>204</v>
      </c>
      <c r="B29" s="177"/>
    </row>
    <row r="30" spans="1:2" ht="15.75" customHeight="1">
      <c r="A30" s="178" t="s">
        <v>211</v>
      </c>
      <c r="B30" s="179">
        <f>SUM(B28:B29)</f>
        <v>80000</v>
      </c>
    </row>
    <row r="31" spans="1:2" customFormat="1" ht="15.75" customHeight="1"/>
    <row r="32" spans="1:2" ht="15.75" customHeight="1">
      <c r="A32" s="174" t="s">
        <v>108</v>
      </c>
      <c r="B32" s="181"/>
    </row>
    <row r="33" spans="1:2" ht="15.75" customHeight="1">
      <c r="A33" s="176" t="s">
        <v>49</v>
      </c>
      <c r="B33" s="177">
        <v>-34938</v>
      </c>
    </row>
    <row r="34" spans="1:2" ht="15.75" customHeight="1">
      <c r="A34" s="178" t="s">
        <v>212</v>
      </c>
      <c r="B34" s="179">
        <f>B33</f>
        <v>-34938</v>
      </c>
    </row>
    <row r="35" spans="1:2" customFormat="1" ht="15.75" customHeight="1"/>
    <row r="36" spans="1:2" ht="15.75" customHeight="1">
      <c r="A36" s="183" t="s">
        <v>213</v>
      </c>
      <c r="B36" s="184">
        <f>B34+B30+B25</f>
        <v>77062</v>
      </c>
    </row>
  </sheetData>
  <sheetProtection algorithmName="SHA-512" hashValue="W0IGM8SQtQYW1GnBwbqa29UscFPgjZpH7VvOqJgpotB1HpI4xnXh9y94Xikf8PLrVkD0swSYRnYOHNZNjZMTxg==" saltValue="vt2HTOduwzBb0nOXsEryLQ==" spinCount="100000" sheet="1" objects="1" scenarios="1"/>
  <mergeCells count="1">
    <mergeCell ref="A1:B1"/>
  </mergeCells>
  <phoneticPr fontId="6" type="noConversion"/>
  <hyperlinks>
    <hyperlink ref="A10" location="Inventaire_Immobilisations!A1" display="Actifs immobilisés" xr:uid="{00000000-0004-0000-0A00-000000000000}"/>
  </hyperlinks>
  <printOptions horizontalCentered="1"/>
  <pageMargins left="0.39370078740157483" right="0.39370078740157483" top="0.39370078740157483" bottom="0.39370078740157483" header="0.51181102362204722" footer="0.39370078740157483"/>
  <pageSetup paperSize="9" scale="92" orientation="landscape" r:id="rId1"/>
  <headerFooter scaleWithDoc="0">
    <oddFooter>&amp;R8</oddFooter>
  </headerFooter>
  <drawing r:id="rId2"/>
  <legacyDrawing r:id="rId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3"/>
    <pageSetUpPr fitToPage="1"/>
  </sheetPr>
  <dimension ref="A1:I32"/>
  <sheetViews>
    <sheetView showZeros="0" topLeftCell="A20" workbookViewId="0">
      <selection activeCell="C45" sqref="C45"/>
    </sheetView>
  </sheetViews>
  <sheetFormatPr baseColWidth="10" defaultColWidth="10.84375" defaultRowHeight="12.9"/>
  <cols>
    <col min="1" max="1" width="66.3046875" style="18" customWidth="1"/>
    <col min="2" max="6" width="14.84375" style="18" customWidth="1"/>
    <col min="7" max="256" width="9.15234375" style="18" customWidth="1"/>
    <col min="257" max="16384" width="10.84375" style="18"/>
  </cols>
  <sheetData>
    <row r="1" spans="1:9" ht="36" customHeight="1">
      <c r="A1" s="404" t="s">
        <v>256</v>
      </c>
      <c r="B1" s="405"/>
      <c r="C1" s="405"/>
      <c r="D1" s="405"/>
      <c r="E1" s="405"/>
      <c r="F1" s="406"/>
      <c r="I1" s="98">
        <f>Informations!B27</f>
        <v>12</v>
      </c>
    </row>
    <row r="2" spans="1:9" s="132" customFormat="1" ht="14.15">
      <c r="A2" s="130" t="s">
        <v>42</v>
      </c>
      <c r="B2" s="131" t="s">
        <v>109</v>
      </c>
      <c r="C2" s="131" t="s">
        <v>37</v>
      </c>
      <c r="D2" s="131" t="s">
        <v>38</v>
      </c>
      <c r="E2" s="131" t="s">
        <v>39</v>
      </c>
      <c r="F2" s="131" t="s">
        <v>40</v>
      </c>
    </row>
    <row r="3" spans="1:9" s="132" customFormat="1" ht="14.15">
      <c r="A3" s="253" t="s">
        <v>380</v>
      </c>
      <c r="B3" s="254">
        <v>2000</v>
      </c>
      <c r="C3" s="254">
        <v>4</v>
      </c>
      <c r="D3" s="101">
        <f>IF(A3&lt;&gt;"",1/C3,"")</f>
        <v>0.25</v>
      </c>
      <c r="E3" s="102">
        <f>IF(A3&lt;&gt;"",B3*D3,"")</f>
        <v>500</v>
      </c>
      <c r="F3" s="102">
        <f>IF(A3&lt;&gt;"",E3/12*$I$1,"")</f>
        <v>500</v>
      </c>
    </row>
    <row r="4" spans="1:9" s="132" customFormat="1" ht="14.15">
      <c r="A4" s="99"/>
      <c r="B4" s="100"/>
      <c r="C4" s="100"/>
      <c r="D4" s="101" t="str">
        <f>IF(A4&lt;&gt;"",1/C4,"")</f>
        <v/>
      </c>
      <c r="E4" s="102" t="str">
        <f>IF(A4&lt;&gt;"",B4*D4,"")</f>
        <v/>
      </c>
      <c r="F4" s="102" t="str">
        <f>IF(A4&lt;&gt;"",E4/12*$I$1,"")</f>
        <v/>
      </c>
    </row>
    <row r="5" spans="1:9" s="132" customFormat="1" ht="14.15">
      <c r="A5" s="99"/>
      <c r="B5" s="100"/>
      <c r="C5" s="100"/>
      <c r="D5" s="101" t="str">
        <f>IF(A5&lt;&gt;"",1/C5,"")</f>
        <v/>
      </c>
      <c r="E5" s="102" t="str">
        <f>IF(A5&lt;&gt;"",B5*D5,"")</f>
        <v/>
      </c>
      <c r="F5" s="102" t="str">
        <f>IF(A5&lt;&gt;"",E5/12*$I$1,"")</f>
        <v/>
      </c>
    </row>
    <row r="6" spans="1:9" s="132" customFormat="1" ht="14.15">
      <c r="A6" s="99"/>
      <c r="B6" s="100"/>
      <c r="C6" s="100"/>
      <c r="D6" s="101" t="str">
        <f>IF(A6&lt;&gt;"",1/C6,"")</f>
        <v/>
      </c>
      <c r="E6" s="102" t="str">
        <f>IF(A6&lt;&gt;"",B6*D6,"")</f>
        <v/>
      </c>
      <c r="F6" s="102" t="str">
        <f>IF(A6&lt;&gt;"",E6/12*$I$1,"")</f>
        <v/>
      </c>
    </row>
    <row r="7" spans="1:9" s="132" customFormat="1" ht="14.15">
      <c r="A7" s="157" t="s">
        <v>41</v>
      </c>
      <c r="B7" s="186">
        <f>SUM(B3:B6)</f>
        <v>2000</v>
      </c>
      <c r="C7" s="186"/>
      <c r="D7" s="186"/>
      <c r="E7" s="186">
        <f>SUM(E3:E6)</f>
        <v>500</v>
      </c>
      <c r="F7" s="186">
        <f>SUM(F3:F6)</f>
        <v>500</v>
      </c>
    </row>
    <row r="8" spans="1:9" s="132" customFormat="1" ht="14.15">
      <c r="A8" s="130" t="s">
        <v>162</v>
      </c>
      <c r="B8" s="131" t="s">
        <v>109</v>
      </c>
      <c r="C8" s="131" t="s">
        <v>37</v>
      </c>
      <c r="D8" s="131" t="s">
        <v>38</v>
      </c>
      <c r="E8" s="131" t="s">
        <v>39</v>
      </c>
      <c r="F8" s="131" t="s">
        <v>40</v>
      </c>
    </row>
    <row r="9" spans="1:9" s="132" customFormat="1" ht="14.15">
      <c r="A9" s="253"/>
      <c r="B9" s="254">
        <v>0</v>
      </c>
      <c r="C9" s="254" t="s">
        <v>387</v>
      </c>
      <c r="D9" s="101">
        <f>IF(A9&lt;&gt;"",1/C9,0)</f>
        <v>0</v>
      </c>
      <c r="E9" s="102" t="str">
        <f>IF(A9&lt;&gt;"",B9*D9,"")</f>
        <v/>
      </c>
      <c r="F9" s="102" t="str">
        <f>IF(A9&lt;&gt;"",E9/12*$I$1,"")</f>
        <v/>
      </c>
    </row>
    <row r="10" spans="1:9" s="132" customFormat="1" ht="14.15">
      <c r="A10" s="253"/>
      <c r="B10" s="254">
        <v>0</v>
      </c>
      <c r="C10" s="254" t="s">
        <v>387</v>
      </c>
      <c r="D10" s="101">
        <f>IF(A10&lt;&gt;"",1/C10,0)</f>
        <v>0</v>
      </c>
      <c r="E10" s="102" t="str">
        <f>IF(A10&lt;&gt;"",B10*D10,"")</f>
        <v/>
      </c>
      <c r="F10" s="102" t="str">
        <f>IF(A10&lt;&gt;"",E10/12*$I$1,"")</f>
        <v/>
      </c>
    </row>
    <row r="11" spans="1:9" s="132" customFormat="1" ht="14.15">
      <c r="A11" s="99"/>
      <c r="B11" s="100"/>
      <c r="C11" s="100"/>
      <c r="D11" s="101">
        <f>IF(A11&lt;&gt;"",1/C11,0)</f>
        <v>0</v>
      </c>
      <c r="E11" s="102" t="str">
        <f>IF(A11&lt;&gt;"",B11*D11,"")</f>
        <v/>
      </c>
      <c r="F11" s="102" t="str">
        <f>IF(A11&lt;&gt;"",E11/12*$I$1,"")</f>
        <v/>
      </c>
    </row>
    <row r="12" spans="1:9" s="132" customFormat="1" ht="14.15">
      <c r="A12" s="99"/>
      <c r="B12" s="100"/>
      <c r="C12" s="100"/>
      <c r="D12" s="101">
        <f>IF(A12&lt;&gt;"",1/C12,0)</f>
        <v>0</v>
      </c>
      <c r="E12" s="102" t="str">
        <f>IF(A12&lt;&gt;"",B12*D12,"")</f>
        <v/>
      </c>
      <c r="F12" s="102" t="str">
        <f>IF(A12&lt;&gt;"",E12/12*$I$1,"")</f>
        <v/>
      </c>
    </row>
    <row r="13" spans="1:9" s="132" customFormat="1" ht="14.15">
      <c r="A13" s="157" t="s">
        <v>43</v>
      </c>
      <c r="B13" s="186">
        <f>SUM(B9:B12)</f>
        <v>0</v>
      </c>
      <c r="C13" s="186"/>
      <c r="D13" s="186"/>
      <c r="E13" s="186">
        <f>SUM(E9:E12)</f>
        <v>0</v>
      </c>
      <c r="F13" s="186">
        <f>SUM(F9:F12)</f>
        <v>0</v>
      </c>
    </row>
    <row r="14" spans="1:9" s="132" customFormat="1" ht="14.15">
      <c r="A14" s="130" t="s">
        <v>45</v>
      </c>
      <c r="B14" s="131" t="s">
        <v>109</v>
      </c>
      <c r="C14" s="131" t="s">
        <v>37</v>
      </c>
      <c r="D14" s="131" t="s">
        <v>38</v>
      </c>
      <c r="E14" s="131" t="s">
        <v>39</v>
      </c>
      <c r="F14" s="131" t="s">
        <v>40</v>
      </c>
    </row>
    <row r="15" spans="1:9" s="132" customFormat="1" ht="14.15">
      <c r="A15" s="99" t="s">
        <v>426</v>
      </c>
      <c r="B15" s="100">
        <v>40000</v>
      </c>
      <c r="C15" s="100">
        <v>4</v>
      </c>
      <c r="D15" s="101">
        <f>IF(A15&lt;&gt;"",1/C15,"")</f>
        <v>0.25</v>
      </c>
      <c r="E15" s="102">
        <f>IF(A15&lt;&gt;"",B15*D15,"")</f>
        <v>10000</v>
      </c>
      <c r="F15" s="102">
        <f>IF(A15&lt;&gt;"",E15/12*$I$1,"")</f>
        <v>10000</v>
      </c>
    </row>
    <row r="16" spans="1:9" s="132" customFormat="1" ht="14.15">
      <c r="A16" s="99" t="s">
        <v>427</v>
      </c>
      <c r="B16" s="100">
        <v>26666</v>
      </c>
      <c r="C16" s="100">
        <v>2</v>
      </c>
      <c r="D16" s="101">
        <f>IF(A16&lt;&gt;"",1/C16,"")</f>
        <v>0.5</v>
      </c>
      <c r="E16" s="102">
        <f>IF(A16&lt;&gt;"",B16*D16,"")</f>
        <v>13333</v>
      </c>
      <c r="F16" s="102">
        <f>IF(A16&lt;&gt;"",E16/12*$I$1,"")</f>
        <v>13333</v>
      </c>
    </row>
    <row r="17" spans="1:6" s="132" customFormat="1" ht="14.15">
      <c r="A17" s="99"/>
      <c r="B17" s="100"/>
      <c r="C17" s="100"/>
      <c r="D17" s="101" t="str">
        <f>IF(A17&lt;&gt;"",1/C17,"")</f>
        <v/>
      </c>
      <c r="E17" s="102" t="str">
        <f>IF(A17&lt;&gt;"",B17*D17,"")</f>
        <v/>
      </c>
      <c r="F17" s="102" t="str">
        <f>IF(A17&lt;&gt;"",E17/12*$I$1,"")</f>
        <v/>
      </c>
    </row>
    <row r="18" spans="1:6" s="132" customFormat="1" ht="14.15">
      <c r="A18" s="99"/>
      <c r="B18" s="100"/>
      <c r="C18" s="100"/>
      <c r="D18" s="101" t="str">
        <f>IF(A18&lt;&gt;"",1/C18,"")</f>
        <v/>
      </c>
      <c r="E18" s="102" t="str">
        <f>IF(A18&lt;&gt;"",B18*D18,"")</f>
        <v/>
      </c>
      <c r="F18" s="102" t="str">
        <f>IF(A18&lt;&gt;"",E18/12*$I$1,"")</f>
        <v/>
      </c>
    </row>
    <row r="19" spans="1:6" s="132" customFormat="1" ht="14.15">
      <c r="A19" s="157" t="s">
        <v>164</v>
      </c>
      <c r="B19" s="186">
        <f>SUM(B15:B18)</f>
        <v>66666</v>
      </c>
      <c r="C19" s="186"/>
      <c r="D19" s="186"/>
      <c r="E19" s="186">
        <f>SUM(E15:E18)</f>
        <v>23333</v>
      </c>
      <c r="F19" s="186">
        <f>SUM(F15:F18)</f>
        <v>23333</v>
      </c>
    </row>
    <row r="20" spans="1:6" s="132" customFormat="1" ht="14.15">
      <c r="A20" s="130" t="s">
        <v>46</v>
      </c>
      <c r="B20" s="131" t="s">
        <v>109</v>
      </c>
      <c r="C20" s="131" t="s">
        <v>37</v>
      </c>
      <c r="D20" s="131" t="s">
        <v>38</v>
      </c>
      <c r="E20" s="131" t="s">
        <v>39</v>
      </c>
      <c r="F20" s="131" t="s">
        <v>40</v>
      </c>
    </row>
    <row r="21" spans="1:6" s="132" customFormat="1" ht="14.15">
      <c r="A21" s="99"/>
      <c r="B21" s="100">
        <v>0</v>
      </c>
      <c r="C21" s="100">
        <v>0</v>
      </c>
      <c r="D21" s="101" t="str">
        <f>IF(A21&lt;&gt;"",1/C21,"")</f>
        <v/>
      </c>
      <c r="E21" s="102" t="str">
        <f>IF(A21&lt;&gt;"",B21*D21,"")</f>
        <v/>
      </c>
      <c r="F21" s="102" t="str">
        <f>IF(A21&lt;&gt;"",E21/12*$I$1,"")</f>
        <v/>
      </c>
    </row>
    <row r="22" spans="1:6" s="132" customFormat="1" ht="14.15">
      <c r="A22" s="99"/>
      <c r="B22" s="100"/>
      <c r="C22" s="100">
        <v>0</v>
      </c>
      <c r="D22" s="101" t="str">
        <f>IF(A22&lt;&gt;"",1/C22,"")</f>
        <v/>
      </c>
      <c r="E22" s="102" t="str">
        <f>IF(A22&lt;&gt;"",B22*D22,"")</f>
        <v/>
      </c>
      <c r="F22" s="102" t="str">
        <f>IF(A22&lt;&gt;"",E22/12*$I$1,"")</f>
        <v/>
      </c>
    </row>
    <row r="23" spans="1:6" s="132" customFormat="1" ht="14.15">
      <c r="A23" s="99"/>
      <c r="B23" s="100"/>
      <c r="C23" s="100"/>
      <c r="D23" s="101" t="str">
        <f>IF(A23&lt;&gt;"",1/C23,"")</f>
        <v/>
      </c>
      <c r="E23" s="102" t="str">
        <f>IF(A23&lt;&gt;"",B23*D23,"")</f>
        <v/>
      </c>
      <c r="F23" s="102" t="str">
        <f>IF(A23&lt;&gt;"",E23/12*$I$1,"")</f>
        <v/>
      </c>
    </row>
    <row r="24" spans="1:6" s="132" customFormat="1" ht="14.15">
      <c r="A24" s="99"/>
      <c r="B24" s="100"/>
      <c r="C24" s="100"/>
      <c r="D24" s="101" t="str">
        <f>IF(A24&lt;&gt;"",1/C24,"")</f>
        <v/>
      </c>
      <c r="E24" s="102" t="str">
        <f>IF(A24&lt;&gt;"",B24*D24,"")</f>
        <v/>
      </c>
      <c r="F24" s="102" t="str">
        <f>IF(A24&lt;&gt;"",E24/12*$I$1,"")</f>
        <v/>
      </c>
    </row>
    <row r="25" spans="1:6" s="132" customFormat="1" ht="14.15">
      <c r="A25" s="157" t="s">
        <v>165</v>
      </c>
      <c r="B25" s="186">
        <f>SUM(B21:B24)</f>
        <v>0</v>
      </c>
      <c r="C25" s="186"/>
      <c r="D25" s="186"/>
      <c r="E25" s="186">
        <f>SUM(E21:E24)</f>
        <v>0</v>
      </c>
      <c r="F25" s="186">
        <f>SUM(F21:F24)</f>
        <v>0</v>
      </c>
    </row>
    <row r="26" spans="1:6" s="132" customFormat="1" ht="14.15">
      <c r="A26" s="130" t="s">
        <v>188</v>
      </c>
      <c r="B26" s="131" t="s">
        <v>109</v>
      </c>
      <c r="C26" s="131" t="s">
        <v>37</v>
      </c>
      <c r="D26" s="131" t="s">
        <v>38</v>
      </c>
      <c r="E26" s="131" t="s">
        <v>39</v>
      </c>
      <c r="F26" s="131" t="s">
        <v>40</v>
      </c>
    </row>
    <row r="27" spans="1:6" s="132" customFormat="1" ht="14.15">
      <c r="A27" s="99"/>
      <c r="B27" s="100"/>
      <c r="C27" s="100"/>
      <c r="D27" s="101" t="str">
        <f>IF(A27&lt;&gt;"",1/C27,"")</f>
        <v/>
      </c>
      <c r="E27" s="102" t="str">
        <f>IF(A27&lt;&gt;"",B27*D27,"")</f>
        <v/>
      </c>
      <c r="F27" s="102" t="str">
        <f>IF(A27&lt;&gt;"",E27/12*$I$1,"")</f>
        <v/>
      </c>
    </row>
    <row r="28" spans="1:6" s="132" customFormat="1" ht="14.15">
      <c r="A28" s="99"/>
      <c r="B28" s="100"/>
      <c r="C28" s="100"/>
      <c r="D28" s="101" t="str">
        <f>IF(A28&lt;&gt;"",1/C28,"")</f>
        <v/>
      </c>
      <c r="E28" s="102" t="str">
        <f>IF(A28&lt;&gt;"",B28*D28,"")</f>
        <v/>
      </c>
      <c r="F28" s="102" t="str">
        <f>IF(A28&lt;&gt;"",E28/12*$I$1,"")</f>
        <v/>
      </c>
    </row>
    <row r="29" spans="1:6" s="132" customFormat="1" ht="14.15">
      <c r="A29" s="99"/>
      <c r="B29" s="100"/>
      <c r="C29" s="100"/>
      <c r="D29" s="101" t="str">
        <f>IF(A29&lt;&gt;"",1/C29,"")</f>
        <v/>
      </c>
      <c r="E29" s="102" t="str">
        <f>IF(A29&lt;&gt;"",B29*D29,"")</f>
        <v/>
      </c>
      <c r="F29" s="102" t="str">
        <f>IF(A29&lt;&gt;"",E29/12*$I$1,"")</f>
        <v/>
      </c>
    </row>
    <row r="30" spans="1:6" s="132" customFormat="1" ht="14.15">
      <c r="A30" s="99" t="s">
        <v>425</v>
      </c>
      <c r="B30" s="100">
        <v>6666</v>
      </c>
      <c r="C30" s="100">
        <v>2</v>
      </c>
      <c r="D30" s="101">
        <f>IF(A30&lt;&gt;"",1/C30,"")</f>
        <v>0.5</v>
      </c>
      <c r="E30" s="102">
        <f>IF(A30&lt;&gt;"",B30*D30,"")</f>
        <v>3333</v>
      </c>
      <c r="F30" s="102">
        <f>IF(A30&lt;&gt;"",E30/12*$I$1,"")</f>
        <v>3333</v>
      </c>
    </row>
    <row r="31" spans="1:6" s="132" customFormat="1" ht="14.15">
      <c r="A31" s="157" t="s">
        <v>166</v>
      </c>
      <c r="B31" s="186">
        <f>SUM(B27:B30)</f>
        <v>6666</v>
      </c>
      <c r="C31" s="186"/>
      <c r="D31" s="186"/>
      <c r="E31" s="186">
        <f>SUM(E27:E30)</f>
        <v>3333</v>
      </c>
      <c r="F31" s="186">
        <f>SUM(F27:F30)</f>
        <v>3333</v>
      </c>
    </row>
    <row r="32" spans="1:6" s="132" customFormat="1" ht="14.15">
      <c r="A32" s="187" t="s">
        <v>151</v>
      </c>
      <c r="B32" s="188">
        <f>B7+B13+B19+B25+B31</f>
        <v>75332</v>
      </c>
      <c r="C32" s="188"/>
      <c r="D32" s="188"/>
      <c r="E32" s="188">
        <f>E7+E13+E19+E25+E31</f>
        <v>27166</v>
      </c>
      <c r="F32" s="188">
        <f>F7+F13+F19+F25+F31</f>
        <v>27166</v>
      </c>
    </row>
  </sheetData>
  <sheetProtection algorithmName="SHA-512" hashValue="EMu1RsRmPqmIHE4/jigW+sXhNdxHwtoEXAvGiKS8uVi4Gs20quCjorJKC++q2GGwLClg+JOJBFSU0k6HPvdRhw==" saltValue="hGgDdIb1jYiAhCrcR+5IWQ==" spinCount="100000" sheet="1" objects="1" scenarios="1"/>
  <mergeCells count="1">
    <mergeCell ref="A1:F1"/>
  </mergeCells>
  <phoneticPr fontId="6" type="noConversion"/>
  <printOptions horizontalCentered="1"/>
  <pageMargins left="0.39370078740157483" right="0.39370078740157483" top="0.39370078740157483" bottom="0.39370078740157483" header="0.51181102362204722" footer="0.39370078740157483"/>
  <pageSetup paperSize="9" orientation="landscape" r:id="rId1"/>
  <headerFooter scaleWithDoc="0">
    <oddFooter>&amp;R9</oddFooter>
  </headerFooter>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theme="3"/>
    <pageSetUpPr fitToPage="1"/>
  </sheetPr>
  <dimension ref="A1:I32"/>
  <sheetViews>
    <sheetView showZeros="0" workbookViewId="0">
      <selection activeCell="A31" sqref="A31"/>
    </sheetView>
  </sheetViews>
  <sheetFormatPr baseColWidth="10" defaultColWidth="10.84375" defaultRowHeight="12.9"/>
  <cols>
    <col min="1" max="1" width="66.3046875" style="18" customWidth="1"/>
    <col min="2" max="6" width="14.84375" style="18" customWidth="1"/>
    <col min="7" max="256" width="9.15234375" style="18" customWidth="1"/>
    <col min="257" max="16384" width="10.84375" style="18"/>
  </cols>
  <sheetData>
    <row r="1" spans="1:9" ht="36" customHeight="1">
      <c r="A1" s="404" t="s">
        <v>266</v>
      </c>
      <c r="B1" s="405"/>
      <c r="C1" s="405"/>
      <c r="D1" s="405"/>
      <c r="E1" s="405"/>
      <c r="F1" s="406"/>
      <c r="I1" s="98">
        <f>Informations!B27</f>
        <v>12</v>
      </c>
    </row>
    <row r="2" spans="1:9" s="132" customFormat="1" ht="14.15">
      <c r="A2" s="130" t="s">
        <v>42</v>
      </c>
      <c r="B2" s="131" t="s">
        <v>109</v>
      </c>
      <c r="C2" s="131" t="s">
        <v>37</v>
      </c>
      <c r="D2" s="131" t="s">
        <v>38</v>
      </c>
      <c r="E2" s="131" t="s">
        <v>39</v>
      </c>
      <c r="F2" s="131" t="s">
        <v>40</v>
      </c>
    </row>
    <row r="3" spans="1:9" s="132" customFormat="1" ht="14.15">
      <c r="A3" s="99"/>
      <c r="B3" s="100"/>
      <c r="C3" s="100"/>
      <c r="D3" s="101" t="str">
        <f>IF(A3&lt;&gt;"",1/C3,"")</f>
        <v/>
      </c>
      <c r="E3" s="102" t="str">
        <f>IF(A3&lt;&gt;"",B3*D3,"")</f>
        <v/>
      </c>
      <c r="F3" s="102" t="str">
        <f>IF(A3&lt;&gt;"",E3/12*$I$1,"")</f>
        <v/>
      </c>
    </row>
    <row r="4" spans="1:9" s="132" customFormat="1" ht="14.15">
      <c r="A4" s="99"/>
      <c r="B4" s="100"/>
      <c r="C4" s="100"/>
      <c r="D4" s="101" t="str">
        <f>IF(A4&lt;&gt;"",1/C4,"")</f>
        <v/>
      </c>
      <c r="E4" s="102" t="str">
        <f>IF(A4&lt;&gt;"",B4*D4,"")</f>
        <v/>
      </c>
      <c r="F4" s="102" t="str">
        <f>IF(A4&lt;&gt;"",E4/12*$I$1,"")</f>
        <v/>
      </c>
    </row>
    <row r="5" spans="1:9" s="132" customFormat="1" ht="14.15">
      <c r="A5" s="99"/>
      <c r="B5" s="100"/>
      <c r="C5" s="100"/>
      <c r="D5" s="101" t="str">
        <f>IF(A5&lt;&gt;"",1/C5,"")</f>
        <v/>
      </c>
      <c r="E5" s="102" t="str">
        <f>IF(A5&lt;&gt;"",B5*D5,"")</f>
        <v/>
      </c>
      <c r="F5" s="102" t="str">
        <f>IF(A5&lt;&gt;"",E5/12*$I$1,"")</f>
        <v/>
      </c>
    </row>
    <row r="6" spans="1:9" s="132" customFormat="1" ht="14.15">
      <c r="A6" s="99"/>
      <c r="B6" s="100"/>
      <c r="C6" s="100"/>
      <c r="D6" s="101" t="str">
        <f>IF(A6&lt;&gt;"",1/C6,"")</f>
        <v/>
      </c>
      <c r="E6" s="102" t="str">
        <f>IF(A6&lt;&gt;"",B6*D6,"")</f>
        <v/>
      </c>
      <c r="F6" s="102" t="str">
        <f>IF(A6&lt;&gt;"",E6/12*$I$1,"")</f>
        <v/>
      </c>
    </row>
    <row r="7" spans="1:9" s="132" customFormat="1" ht="14.15">
      <c r="A7" s="157" t="s">
        <v>41</v>
      </c>
      <c r="B7" s="186">
        <f>SUM(B3:B6)</f>
        <v>0</v>
      </c>
      <c r="C7" s="186"/>
      <c r="D7" s="186"/>
      <c r="E7" s="186">
        <f>SUM(E3:E6)</f>
        <v>0</v>
      </c>
      <c r="F7" s="186">
        <f>SUM(F3:F6)</f>
        <v>0</v>
      </c>
    </row>
    <row r="8" spans="1:9" s="132" customFormat="1" ht="14.15">
      <c r="A8" s="130" t="s">
        <v>162</v>
      </c>
      <c r="B8" s="131" t="s">
        <v>109</v>
      </c>
      <c r="C8" s="131" t="s">
        <v>37</v>
      </c>
      <c r="D8" s="131" t="s">
        <v>38</v>
      </c>
      <c r="E8" s="131" t="s">
        <v>39</v>
      </c>
      <c r="F8" s="131" t="s">
        <v>40</v>
      </c>
    </row>
    <row r="9" spans="1:9" s="132" customFormat="1" ht="14.15">
      <c r="A9" s="99"/>
      <c r="B9" s="100"/>
      <c r="C9" s="100"/>
      <c r="D9" s="101" t="str">
        <f>IF(A9&lt;&gt;"",1/C9,"")</f>
        <v/>
      </c>
      <c r="E9" s="102" t="str">
        <f>IF(A9&lt;&gt;"",B9*D9,"")</f>
        <v/>
      </c>
      <c r="F9" s="102" t="str">
        <f>IF(A9&lt;&gt;"",E9/12*$I$1,"")</f>
        <v/>
      </c>
    </row>
    <row r="10" spans="1:9" s="132" customFormat="1" ht="14.15">
      <c r="A10" s="99"/>
      <c r="B10" s="100"/>
      <c r="C10" s="100"/>
      <c r="D10" s="101" t="str">
        <f>IF(A10&lt;&gt;"",1/C10,"")</f>
        <v/>
      </c>
      <c r="E10" s="102" t="str">
        <f>IF(A10&lt;&gt;"",B10*D10,"")</f>
        <v/>
      </c>
      <c r="F10" s="102" t="str">
        <f>IF(A10&lt;&gt;"",E10/12*$I$1,"")</f>
        <v/>
      </c>
    </row>
    <row r="11" spans="1:9" s="132" customFormat="1" ht="14.15">
      <c r="A11" s="99"/>
      <c r="B11" s="100"/>
      <c r="C11" s="100"/>
      <c r="D11" s="101" t="str">
        <f>IF(A11&lt;&gt;"",1/C11,"")</f>
        <v/>
      </c>
      <c r="E11" s="102" t="str">
        <f>IF(A11&lt;&gt;"",B11*D11,"")</f>
        <v/>
      </c>
      <c r="F11" s="102" t="str">
        <f>IF(A11&lt;&gt;"",E11/12*$I$1,"")</f>
        <v/>
      </c>
    </row>
    <row r="12" spans="1:9" s="132" customFormat="1" ht="14.15">
      <c r="A12" s="99"/>
      <c r="B12" s="100"/>
      <c r="C12" s="100"/>
      <c r="D12" s="101" t="str">
        <f>IF(A12&lt;&gt;"",1/C12,"")</f>
        <v/>
      </c>
      <c r="E12" s="102" t="str">
        <f>IF(A12&lt;&gt;"",B12*D12,"")</f>
        <v/>
      </c>
      <c r="F12" s="102" t="str">
        <f>IF(A12&lt;&gt;"",E12/12*$I$1,"")</f>
        <v/>
      </c>
    </row>
    <row r="13" spans="1:9" s="132" customFormat="1" ht="14.15">
      <c r="A13" s="157" t="s">
        <v>43</v>
      </c>
      <c r="B13" s="186">
        <f>SUM(B9:B12)</f>
        <v>0</v>
      </c>
      <c r="C13" s="186"/>
      <c r="D13" s="186"/>
      <c r="E13" s="186">
        <f>SUM(E9:E12)</f>
        <v>0</v>
      </c>
      <c r="F13" s="186">
        <f>SUM(F9:F12)</f>
        <v>0</v>
      </c>
    </row>
    <row r="14" spans="1:9" s="132" customFormat="1" ht="14.15">
      <c r="A14" s="130" t="s">
        <v>45</v>
      </c>
      <c r="B14" s="131" t="s">
        <v>109</v>
      </c>
      <c r="C14" s="131" t="s">
        <v>37</v>
      </c>
      <c r="D14" s="131" t="s">
        <v>38</v>
      </c>
      <c r="E14" s="131" t="s">
        <v>39</v>
      </c>
      <c r="F14" s="131" t="s">
        <v>40</v>
      </c>
    </row>
    <row r="15" spans="1:9" s="132" customFormat="1" ht="14.15">
      <c r="A15" s="99"/>
      <c r="B15" s="100"/>
      <c r="C15" s="100"/>
      <c r="D15" s="101" t="str">
        <f>IF(A15&lt;&gt;"",1/C15,"")</f>
        <v/>
      </c>
      <c r="E15" s="102" t="str">
        <f>IF(A15&lt;&gt;"",B15*D15,"")</f>
        <v/>
      </c>
      <c r="F15" s="102" t="str">
        <f>IF(A15&lt;&gt;"",E15/12*$I$1,"")</f>
        <v/>
      </c>
    </row>
    <row r="16" spans="1:9" s="132" customFormat="1" ht="14.15">
      <c r="A16" s="99"/>
      <c r="B16" s="100"/>
      <c r="C16" s="100"/>
      <c r="D16" s="101" t="str">
        <f>IF(A16&lt;&gt;"",1/C16,"")</f>
        <v/>
      </c>
      <c r="E16" s="102" t="str">
        <f>IF(A16&lt;&gt;"",B16*D16,"")</f>
        <v/>
      </c>
      <c r="F16" s="102" t="str">
        <f>IF(A16&lt;&gt;"",E16/12*$I$1,"")</f>
        <v/>
      </c>
    </row>
    <row r="17" spans="1:6" s="132" customFormat="1" ht="14.15">
      <c r="A17" s="99"/>
      <c r="B17" s="100"/>
      <c r="C17" s="100"/>
      <c r="D17" s="101" t="str">
        <f>IF(A17&lt;&gt;"",1/C17,"")</f>
        <v/>
      </c>
      <c r="E17" s="102" t="str">
        <f>IF(A17&lt;&gt;"",B17*D17,"")</f>
        <v/>
      </c>
      <c r="F17" s="102" t="str">
        <f>IF(A17&lt;&gt;"",E17/12*$I$1,"")</f>
        <v/>
      </c>
    </row>
    <row r="18" spans="1:6" s="132" customFormat="1" ht="14.15">
      <c r="A18" s="99"/>
      <c r="B18" s="100"/>
      <c r="C18" s="100"/>
      <c r="D18" s="101" t="str">
        <f>IF(A18&lt;&gt;"",1/C18,"")</f>
        <v/>
      </c>
      <c r="E18" s="102" t="str">
        <f>IF(A18&lt;&gt;"",B18*D18,"")</f>
        <v/>
      </c>
      <c r="F18" s="102" t="str">
        <f>IF(A18&lt;&gt;"",E18/12*$I$1,"")</f>
        <v/>
      </c>
    </row>
    <row r="19" spans="1:6" s="132" customFormat="1" ht="14.15">
      <c r="A19" s="157" t="s">
        <v>164</v>
      </c>
      <c r="B19" s="186">
        <f>SUM(B15:B18)</f>
        <v>0</v>
      </c>
      <c r="C19" s="186"/>
      <c r="D19" s="186"/>
      <c r="E19" s="186">
        <f>SUM(E15:E18)</f>
        <v>0</v>
      </c>
      <c r="F19" s="186">
        <f>SUM(F15:F18)</f>
        <v>0</v>
      </c>
    </row>
    <row r="20" spans="1:6" s="132" customFormat="1" ht="14.15">
      <c r="A20" s="130" t="s">
        <v>46</v>
      </c>
      <c r="B20" s="131" t="s">
        <v>109</v>
      </c>
      <c r="C20" s="131" t="s">
        <v>37</v>
      </c>
      <c r="D20" s="131" t="s">
        <v>38</v>
      </c>
      <c r="E20" s="131" t="s">
        <v>39</v>
      </c>
      <c r="F20" s="131" t="s">
        <v>40</v>
      </c>
    </row>
    <row r="21" spans="1:6" s="132" customFormat="1" ht="14.15">
      <c r="A21" s="99"/>
      <c r="B21" s="100"/>
      <c r="C21" s="100"/>
      <c r="D21" s="101" t="str">
        <f>IF(A21&lt;&gt;"",1/C21,"")</f>
        <v/>
      </c>
      <c r="E21" s="102" t="str">
        <f>IF(A21&lt;&gt;"",B21*D21,"")</f>
        <v/>
      </c>
      <c r="F21" s="102" t="str">
        <f>IF(A21&lt;&gt;"",E21/12*$I$1,"")</f>
        <v/>
      </c>
    </row>
    <row r="22" spans="1:6" s="132" customFormat="1" ht="14.15">
      <c r="A22" s="99"/>
      <c r="B22" s="100"/>
      <c r="C22" s="100"/>
      <c r="D22" s="101" t="str">
        <f>IF(A22&lt;&gt;"",1/C22,"")</f>
        <v/>
      </c>
      <c r="E22" s="102" t="str">
        <f>IF(A22&lt;&gt;"",B22*D22,"")</f>
        <v/>
      </c>
      <c r="F22" s="102" t="str">
        <f>IF(A22&lt;&gt;"",E22/12*$I$1,"")</f>
        <v/>
      </c>
    </row>
    <row r="23" spans="1:6" s="132" customFormat="1" ht="14.15">
      <c r="A23" s="99"/>
      <c r="B23" s="100"/>
      <c r="C23" s="100"/>
      <c r="D23" s="101" t="str">
        <f>IF(A23&lt;&gt;"",1/C23,"")</f>
        <v/>
      </c>
      <c r="E23" s="102" t="str">
        <f>IF(A23&lt;&gt;"",B23*D23,"")</f>
        <v/>
      </c>
      <c r="F23" s="102" t="str">
        <f>IF(A23&lt;&gt;"",E23/12*$I$1,"")</f>
        <v/>
      </c>
    </row>
    <row r="24" spans="1:6" s="132" customFormat="1" ht="14.15">
      <c r="A24" s="99"/>
      <c r="B24" s="100"/>
      <c r="C24" s="100"/>
      <c r="D24" s="101" t="str">
        <f>IF(A24&lt;&gt;"",1/C24,"")</f>
        <v/>
      </c>
      <c r="E24" s="102" t="str">
        <f>IF(A24&lt;&gt;"",B24*D24,"")</f>
        <v/>
      </c>
      <c r="F24" s="102" t="str">
        <f>IF(A24&lt;&gt;"",E24/12*$I$1,"")</f>
        <v/>
      </c>
    </row>
    <row r="25" spans="1:6" s="132" customFormat="1" ht="14.15">
      <c r="A25" s="157" t="s">
        <v>165</v>
      </c>
      <c r="B25" s="186">
        <f>SUM(B21:B24)</f>
        <v>0</v>
      </c>
      <c r="C25" s="186"/>
      <c r="D25" s="186"/>
      <c r="E25" s="186">
        <f>SUM(E21:E24)</f>
        <v>0</v>
      </c>
      <c r="F25" s="186">
        <f>SUM(F21:F24)</f>
        <v>0</v>
      </c>
    </row>
    <row r="26" spans="1:6" s="132" customFormat="1" ht="14.15">
      <c r="A26" s="130" t="s">
        <v>188</v>
      </c>
      <c r="B26" s="131" t="s">
        <v>109</v>
      </c>
      <c r="C26" s="131" t="s">
        <v>37</v>
      </c>
      <c r="D26" s="131" t="s">
        <v>38</v>
      </c>
      <c r="E26" s="131" t="s">
        <v>39</v>
      </c>
      <c r="F26" s="131" t="s">
        <v>40</v>
      </c>
    </row>
    <row r="27" spans="1:6" s="132" customFormat="1" ht="14.15">
      <c r="A27" s="99"/>
      <c r="B27" s="100"/>
      <c r="C27" s="100"/>
      <c r="D27" s="101" t="str">
        <f>IF(A27&lt;&gt;"",1/C27,"")</f>
        <v/>
      </c>
      <c r="E27" s="102" t="str">
        <f>IF(A27&lt;&gt;"",B27*D27,"")</f>
        <v/>
      </c>
      <c r="F27" s="102" t="str">
        <f>IF(A27&lt;&gt;"",E27/12*$I$1,"")</f>
        <v/>
      </c>
    </row>
    <row r="28" spans="1:6" s="132" customFormat="1" ht="14.15">
      <c r="A28" s="99"/>
      <c r="B28" s="100"/>
      <c r="C28" s="100"/>
      <c r="D28" s="101" t="str">
        <f>IF(A28&lt;&gt;"",1/C28,"")</f>
        <v/>
      </c>
      <c r="E28" s="102" t="str">
        <f>IF(A28&lt;&gt;"",B28*D28,"")</f>
        <v/>
      </c>
      <c r="F28" s="102" t="str">
        <f>IF(A28&lt;&gt;"",E28/12*$I$1,"")</f>
        <v/>
      </c>
    </row>
    <row r="29" spans="1:6" s="132" customFormat="1" ht="14.15">
      <c r="A29" s="99"/>
      <c r="B29" s="100"/>
      <c r="C29" s="100"/>
      <c r="D29" s="101" t="str">
        <f>IF(A29&lt;&gt;"",1/C29,"")</f>
        <v/>
      </c>
      <c r="E29" s="102" t="str">
        <f>IF(A29&lt;&gt;"",B29*D29,"")</f>
        <v/>
      </c>
      <c r="F29" s="102" t="str">
        <f>IF(A29&lt;&gt;"",E29/12*$I$1,"")</f>
        <v/>
      </c>
    </row>
    <row r="30" spans="1:6" s="132" customFormat="1" ht="14.15">
      <c r="A30" s="99"/>
      <c r="B30" s="100"/>
      <c r="C30" s="100">
        <v>3</v>
      </c>
      <c r="D30" s="101" t="str">
        <f>IF(A30&lt;&gt;"",1/C30,"")</f>
        <v/>
      </c>
      <c r="E30" s="102" t="str">
        <f>IF(A30&lt;&gt;"",B30*D30,"")</f>
        <v/>
      </c>
      <c r="F30" s="102" t="str">
        <f>IF(A30&lt;&gt;"",E30/12*$I$1,"")</f>
        <v/>
      </c>
    </row>
    <row r="31" spans="1:6" s="132" customFormat="1" ht="14.15">
      <c r="A31" s="157" t="s">
        <v>166</v>
      </c>
      <c r="B31" s="186">
        <f>SUM(B27:B30)</f>
        <v>0</v>
      </c>
      <c r="C31" s="186"/>
      <c r="D31" s="186"/>
      <c r="E31" s="186">
        <f>SUM(E27:E30)</f>
        <v>0</v>
      </c>
      <c r="F31" s="186">
        <f>SUM(F27:F30)</f>
        <v>0</v>
      </c>
    </row>
    <row r="32" spans="1:6" s="132" customFormat="1" ht="14.15">
      <c r="A32" s="187" t="s">
        <v>152</v>
      </c>
      <c r="B32" s="188">
        <f>B7+B13+B19+B25+B31</f>
        <v>0</v>
      </c>
      <c r="C32" s="188"/>
      <c r="D32" s="188"/>
      <c r="E32" s="188">
        <f>E7+E13+E19+E25+E31</f>
        <v>0</v>
      </c>
      <c r="F32" s="188">
        <f>F7+F13+F19+F25+F31</f>
        <v>0</v>
      </c>
    </row>
  </sheetData>
  <sheetProtection algorithmName="SHA-512" hashValue="z8rugJnaknH8jWtDBJ5F7iduap5eNupsVSBZ+DU4jWy88SxaGqzxODNUYG/1cSO7YbqoMmZoksU/3KqmtqWNzw==" saltValue="bnZUG9yka7qJqiTc2WTjPA==" spinCount="100000" sheet="1" objects="1" scenarios="1"/>
  <mergeCells count="1">
    <mergeCell ref="A1:F1"/>
  </mergeCells>
  <phoneticPr fontId="6" type="noConversion"/>
  <printOptions horizontalCentered="1"/>
  <pageMargins left="0.39370078740157483" right="0.39370078740157483" top="0.39370078740157483" bottom="0.39370078740157483" header="0.51181102362204722" footer="0.39370078740157483"/>
  <pageSetup paperSize="9" orientation="landscape" r:id="rId1"/>
  <headerFooter scaleWithDoc="0">
    <oddFooter>&amp;R10</oddFooter>
  </headerFooter>
  <drawing r:id="rId2"/>
  <legacyDrawing r:id="rId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theme="3"/>
  </sheetPr>
  <dimension ref="A1:N37"/>
  <sheetViews>
    <sheetView showZeros="0" topLeftCell="A4" workbookViewId="0">
      <selection activeCell="B4" sqref="B4:C4"/>
    </sheetView>
  </sheetViews>
  <sheetFormatPr baseColWidth="10" defaultColWidth="9.15234375" defaultRowHeight="12.9"/>
  <cols>
    <col min="1" max="1" width="49.3828125" style="21" customWidth="1"/>
    <col min="2" max="8" width="13.15234375" style="21" customWidth="1"/>
    <col min="9" max="16384" width="9.15234375" style="21"/>
  </cols>
  <sheetData>
    <row r="1" spans="1:14" ht="36" customHeight="1">
      <c r="A1" s="409" t="s">
        <v>157</v>
      </c>
      <c r="B1" s="409"/>
      <c r="C1" s="409"/>
      <c r="D1" s="409"/>
      <c r="E1" s="409"/>
      <c r="F1" s="409"/>
      <c r="G1" s="409"/>
      <c r="H1" s="409"/>
      <c r="J1" s="408" t="s">
        <v>243</v>
      </c>
      <c r="K1" s="408"/>
      <c r="L1" s="408"/>
    </row>
    <row r="2" spans="1:14">
      <c r="A2" s="103"/>
      <c r="B2" s="104"/>
      <c r="C2" s="105"/>
    </row>
    <row r="3" spans="1:14" ht="25.75">
      <c r="A3" s="133" t="s">
        <v>167</v>
      </c>
      <c r="B3" s="410" t="s">
        <v>107</v>
      </c>
      <c r="C3" s="410"/>
      <c r="D3" s="134" t="str">
        <f>IF(Produits_prestations!A5="","",Produits_prestations!A5)</f>
        <v>Restauration rapide Usines</v>
      </c>
      <c r="E3" s="134" t="str">
        <f>IF(Produits_prestations!A6="","",Produits_prestations!A6)</f>
        <v>Food-Truck Soirs</v>
      </c>
      <c r="F3" s="134" t="str">
        <f>IF(Produits_prestations!A7="","",Produits_prestations!A7)</f>
        <v>Food-truck week-end</v>
      </c>
      <c r="G3" s="134" t="str">
        <f>IF(Produits_prestations!A8="","",Produits_prestations!A8)</f>
        <v/>
      </c>
      <c r="H3" s="134" t="str">
        <f>IF(Produits_prestations!A9="","",Produits_prestations!A9)</f>
        <v/>
      </c>
    </row>
    <row r="4" spans="1:14" ht="12.75" customHeight="1">
      <c r="A4" s="135" t="s">
        <v>339</v>
      </c>
      <c r="B4" s="411">
        <v>423360</v>
      </c>
      <c r="C4" s="411"/>
      <c r="D4" s="106">
        <f>IF(J1="Simulation seuil de rentabilité",$B$4*D5/100,0)</f>
        <v>0</v>
      </c>
      <c r="E4" s="106">
        <f>IF(J1="Simulation seuil de rentabilité",$B$4*E5/100,0)</f>
        <v>82131.839999999997</v>
      </c>
      <c r="F4" s="106">
        <f>IF(J1="Simulation seuil de rentabilité",$B$4*F5/100,0)</f>
        <v>341228.16</v>
      </c>
      <c r="G4" s="107">
        <f>IF(J1="Simulation seuil de rentabilité",$B$4*G5/100,0)</f>
        <v>0</v>
      </c>
      <c r="H4" s="107">
        <f>IF(J1="Simulation seuil de rentabilité",$B$4*H5/100,0)</f>
        <v>0</v>
      </c>
      <c r="K4" s="108" t="s">
        <v>243</v>
      </c>
    </row>
    <row r="5" spans="1:14">
      <c r="A5" s="135" t="s">
        <v>171</v>
      </c>
      <c r="B5" s="412">
        <f>SUM(D5:H5)</f>
        <v>100</v>
      </c>
      <c r="C5" s="412"/>
      <c r="D5" s="136">
        <f>Produits_prestations!B13</f>
        <v>0</v>
      </c>
      <c r="E5" s="136">
        <f>Produits_prestations!B14</f>
        <v>19.399999999999999</v>
      </c>
      <c r="F5" s="136">
        <f>Produits_prestations!B15</f>
        <v>80.599999999999994</v>
      </c>
      <c r="G5" s="136">
        <f>Produits_prestations!B16</f>
        <v>0</v>
      </c>
      <c r="H5" s="136">
        <f>Produits_prestations!B17</f>
        <v>0</v>
      </c>
      <c r="K5" s="108" t="s">
        <v>244</v>
      </c>
    </row>
    <row r="6" spans="1:14">
      <c r="A6" s="135" t="s">
        <v>159</v>
      </c>
      <c r="B6" s="407">
        <f>IF(ISERROR(B4),0,(100-B8)*B4/100)</f>
        <v>151200.06048000004</v>
      </c>
      <c r="C6" s="407"/>
      <c r="D6" s="137">
        <f>IF(ISERROR(D4),0,(100-D8)*D4/100)</f>
        <v>0</v>
      </c>
      <c r="E6" s="137">
        <f>IF(ISERROR(E4),0,(100-E8)*E4/100)</f>
        <v>29332.811733119994</v>
      </c>
      <c r="F6" s="137">
        <f>IF(ISERROR(F4),0,(100-F8)*F4/100)</f>
        <v>121867.24874687998</v>
      </c>
      <c r="G6" s="137">
        <f>IF(ISERROR(G4),0,(100-G8)*G4/100)</f>
        <v>0</v>
      </c>
      <c r="H6" s="137">
        <f>IF(ISERROR(H4),0,(100-H8)*H4/100)</f>
        <v>0</v>
      </c>
    </row>
    <row r="7" spans="1:14">
      <c r="A7" s="138" t="s">
        <v>50</v>
      </c>
      <c r="B7" s="413">
        <f>IF(ISERROR(B4),0,B4-B6)</f>
        <v>272159.93951999996</v>
      </c>
      <c r="C7" s="413"/>
      <c r="D7" s="139">
        <f>IF(ISERROR(D4),0,D4-D6)</f>
        <v>0</v>
      </c>
      <c r="E7" s="139">
        <f>IF(ISERROR(E4),0,E4-E6)</f>
        <v>52799.028266880006</v>
      </c>
      <c r="F7" s="139">
        <f>IF(ISERROR(F4),0,F4-F6)</f>
        <v>219360.91125311999</v>
      </c>
      <c r="G7" s="139">
        <f>IF(ISERROR(G4),0,G4-G6)</f>
        <v>0</v>
      </c>
      <c r="H7" s="139">
        <f>IF(ISERROR(H4),0,H4-H6)</f>
        <v>0</v>
      </c>
    </row>
    <row r="8" spans="1:14">
      <c r="A8" s="135" t="s">
        <v>192</v>
      </c>
      <c r="B8" s="414">
        <f>SUM(J10:N10)/100</f>
        <v>64.285699999999991</v>
      </c>
      <c r="C8" s="414"/>
      <c r="D8" s="136">
        <f>Produits_prestations!C13</f>
        <v>0</v>
      </c>
      <c r="E8" s="136">
        <f>Produits_prestations!C14</f>
        <v>64.285700000000006</v>
      </c>
      <c r="F8" s="136">
        <f>Produits_prestations!C15</f>
        <v>64.285700000000006</v>
      </c>
      <c r="G8" s="137">
        <f>Produits_prestations!C16</f>
        <v>0</v>
      </c>
      <c r="H8" s="137">
        <f>Produits_prestations!C17</f>
        <v>0</v>
      </c>
    </row>
    <row r="9" spans="1:14">
      <c r="A9" s="109"/>
      <c r="B9" s="110"/>
      <c r="D9" s="111"/>
      <c r="E9" s="111"/>
      <c r="F9" s="111"/>
      <c r="G9" s="111"/>
      <c r="H9" s="111"/>
    </row>
    <row r="10" spans="1:14">
      <c r="A10" s="140" t="s">
        <v>168</v>
      </c>
      <c r="B10" s="141" t="s">
        <v>207</v>
      </c>
      <c r="C10" s="141" t="s">
        <v>169</v>
      </c>
      <c r="D10" s="141" t="s">
        <v>300</v>
      </c>
      <c r="J10" s="108">
        <f>D5*D8</f>
        <v>0</v>
      </c>
      <c r="K10" s="108">
        <f>E5*E8</f>
        <v>1247.14258</v>
      </c>
      <c r="L10" s="108">
        <f>F5*F8</f>
        <v>5181.42742</v>
      </c>
      <c r="M10" s="112">
        <f>G5*G8</f>
        <v>0</v>
      </c>
      <c r="N10" s="112">
        <f>H5*H8</f>
        <v>0</v>
      </c>
    </row>
    <row r="11" spans="1:14">
      <c r="A11" s="142" t="s">
        <v>78</v>
      </c>
      <c r="B11" s="143">
        <f>'Portrait de l''entreprise'!I13</f>
        <v>106200</v>
      </c>
      <c r="C11" s="144">
        <f>IF($B$7=0,0,B11/$B$7)</f>
        <v>0.39021172692535738</v>
      </c>
      <c r="D11" s="143">
        <f>B11/12</f>
        <v>8850</v>
      </c>
    </row>
    <row r="12" spans="1:14">
      <c r="A12" s="145" t="s">
        <v>189</v>
      </c>
      <c r="B12" s="143">
        <f>Frais_détails!B3</f>
        <v>13181.2</v>
      </c>
      <c r="C12" s="144">
        <f t="shared" ref="C12:C28" si="0">IF($B$7=0,0,B12/$B$7)</f>
        <v>4.8431815583319403E-2</v>
      </c>
      <c r="D12" s="143">
        <f t="shared" ref="D12:D28" si="1">B12/12</f>
        <v>1098.4333333333334</v>
      </c>
    </row>
    <row r="13" spans="1:14">
      <c r="A13" s="142" t="s">
        <v>190</v>
      </c>
      <c r="B13" s="143">
        <f>'Portrait de l''entreprise'!J13</f>
        <v>12000</v>
      </c>
      <c r="C13" s="144">
        <f t="shared" si="0"/>
        <v>4.4091720556537553E-2</v>
      </c>
      <c r="D13" s="143">
        <f t="shared" si="1"/>
        <v>1000</v>
      </c>
    </row>
    <row r="14" spans="1:14">
      <c r="A14" s="142" t="s">
        <v>191</v>
      </c>
      <c r="B14" s="143">
        <f>'Portrait de l''entreprise'!L13</f>
        <v>1800</v>
      </c>
      <c r="C14" s="144">
        <f t="shared" si="0"/>
        <v>6.613758083480633E-3</v>
      </c>
      <c r="D14" s="143">
        <f t="shared" si="1"/>
        <v>150</v>
      </c>
    </row>
    <row r="15" spans="1:14">
      <c r="A15" s="142" t="s">
        <v>51</v>
      </c>
      <c r="B15" s="255">
        <f>7200+14400</f>
        <v>21600</v>
      </c>
      <c r="C15" s="144">
        <f t="shared" si="0"/>
        <v>7.9365097001767596E-2</v>
      </c>
      <c r="D15" s="143">
        <f t="shared" si="1"/>
        <v>1800</v>
      </c>
    </row>
    <row r="16" spans="1:14">
      <c r="A16" s="142" t="s">
        <v>347</v>
      </c>
      <c r="B16" s="255">
        <v>1200</v>
      </c>
      <c r="C16" s="144">
        <f t="shared" si="0"/>
        <v>4.4091720556537553E-3</v>
      </c>
      <c r="D16" s="143">
        <f t="shared" si="1"/>
        <v>100</v>
      </c>
    </row>
    <row r="17" spans="1:8">
      <c r="A17" s="145" t="s">
        <v>290</v>
      </c>
      <c r="B17" s="143">
        <f>Frais_détails!B10</f>
        <v>21300</v>
      </c>
      <c r="C17" s="144">
        <f t="shared" si="0"/>
        <v>7.8262803987854165E-2</v>
      </c>
      <c r="D17" s="143">
        <f t="shared" si="1"/>
        <v>1775</v>
      </c>
    </row>
    <row r="18" spans="1:8">
      <c r="A18" s="145" t="s">
        <v>199</v>
      </c>
      <c r="B18" s="143">
        <f>Frais_détails!B16</f>
        <v>2800</v>
      </c>
      <c r="C18" s="144">
        <f t="shared" si="0"/>
        <v>1.0288068129858764E-2</v>
      </c>
      <c r="D18" s="143">
        <f t="shared" si="1"/>
        <v>233.33333333333334</v>
      </c>
    </row>
    <row r="19" spans="1:8">
      <c r="A19" s="145" t="s">
        <v>52</v>
      </c>
      <c r="B19" s="143">
        <f>Frais_détails!B26</f>
        <v>1020</v>
      </c>
      <c r="C19" s="144">
        <f t="shared" si="0"/>
        <v>3.7477962473056923E-3</v>
      </c>
      <c r="D19" s="143">
        <f t="shared" si="1"/>
        <v>85</v>
      </c>
    </row>
    <row r="20" spans="1:8">
      <c r="A20" s="142" t="s">
        <v>173</v>
      </c>
      <c r="B20" s="146"/>
      <c r="C20" s="144">
        <f t="shared" si="0"/>
        <v>0</v>
      </c>
      <c r="D20" s="143">
        <f t="shared" si="1"/>
        <v>0</v>
      </c>
    </row>
    <row r="21" spans="1:8">
      <c r="A21" s="142" t="s">
        <v>174</v>
      </c>
      <c r="B21" s="255">
        <v>3000</v>
      </c>
      <c r="C21" s="144">
        <f t="shared" si="0"/>
        <v>1.1022930139134388E-2</v>
      </c>
      <c r="D21" s="143">
        <f t="shared" si="1"/>
        <v>250</v>
      </c>
    </row>
    <row r="22" spans="1:8">
      <c r="A22" s="142" t="s">
        <v>73</v>
      </c>
      <c r="B22" s="255">
        <v>1200</v>
      </c>
      <c r="C22" s="144">
        <f t="shared" si="0"/>
        <v>4.4091720556537553E-3</v>
      </c>
      <c r="D22" s="143">
        <f t="shared" si="1"/>
        <v>100</v>
      </c>
    </row>
    <row r="23" spans="1:8">
      <c r="A23" s="142" t="s">
        <v>74</v>
      </c>
      <c r="B23" s="255">
        <v>1200</v>
      </c>
      <c r="C23" s="144">
        <f t="shared" si="0"/>
        <v>4.4091720556537553E-3</v>
      </c>
      <c r="D23" s="143">
        <f t="shared" si="1"/>
        <v>100</v>
      </c>
    </row>
    <row r="24" spans="1:8">
      <c r="A24" s="145" t="s">
        <v>175</v>
      </c>
      <c r="B24" s="143">
        <f>Frais_détails!B31</f>
        <v>2000</v>
      </c>
      <c r="C24" s="144">
        <f t="shared" si="0"/>
        <v>7.3486200927562594E-3</v>
      </c>
      <c r="D24" s="143">
        <f t="shared" si="1"/>
        <v>166.66666666666666</v>
      </c>
    </row>
    <row r="25" spans="1:8">
      <c r="A25" s="142" t="s">
        <v>217</v>
      </c>
      <c r="B25" s="146">
        <v>3000</v>
      </c>
      <c r="C25" s="144">
        <f t="shared" si="0"/>
        <v>1.1022930139134388E-2</v>
      </c>
      <c r="D25" s="143">
        <f t="shared" si="1"/>
        <v>250</v>
      </c>
    </row>
    <row r="26" spans="1:8">
      <c r="A26" s="142" t="s">
        <v>241</v>
      </c>
      <c r="B26" s="143">
        <f>H37</f>
        <v>2800.0000000000005</v>
      </c>
      <c r="C26" s="144">
        <f t="shared" si="0"/>
        <v>1.0288068129858765E-2</v>
      </c>
      <c r="D26" s="143">
        <f t="shared" si="1"/>
        <v>233.33333333333337</v>
      </c>
    </row>
    <row r="27" spans="1:8">
      <c r="A27" s="142" t="s">
        <v>110</v>
      </c>
      <c r="B27" s="143">
        <f>Inventaire_Immobilisations!E32+Plan_investissements!E32</f>
        <v>27166</v>
      </c>
      <c r="C27" s="144">
        <f t="shared" si="0"/>
        <v>9.9816306719908265E-2</v>
      </c>
      <c r="D27" s="143">
        <f t="shared" si="1"/>
        <v>2263.8333333333335</v>
      </c>
    </row>
    <row r="28" spans="1:8">
      <c r="A28" s="147" t="s">
        <v>72</v>
      </c>
      <c r="B28" s="148">
        <f>SUM(B11:B27)</f>
        <v>221467.2</v>
      </c>
      <c r="C28" s="149">
        <f t="shared" si="0"/>
        <v>0.81373915790323459</v>
      </c>
      <c r="D28" s="148">
        <f t="shared" si="1"/>
        <v>18455.600000000002</v>
      </c>
    </row>
    <row r="30" spans="1:8">
      <c r="B30" s="113"/>
    </row>
    <row r="31" spans="1:8" ht="35.25" customHeight="1">
      <c r="A31" s="409" t="s">
        <v>258</v>
      </c>
      <c r="B31" s="409"/>
      <c r="C31" s="409"/>
      <c r="D31" s="409"/>
      <c r="E31" s="409"/>
      <c r="F31" s="409"/>
      <c r="G31" s="409"/>
      <c r="H31" s="409"/>
    </row>
    <row r="32" spans="1:8">
      <c r="A32" s="103"/>
      <c r="B32" s="104"/>
      <c r="C32" s="105"/>
    </row>
    <row r="33" spans="1:8">
      <c r="A33" s="416" t="s">
        <v>156</v>
      </c>
      <c r="B33" s="416"/>
      <c r="C33" s="416"/>
      <c r="D33" s="150" t="s">
        <v>109</v>
      </c>
      <c r="E33" s="150" t="s">
        <v>90</v>
      </c>
      <c r="F33" s="150" t="s">
        <v>153</v>
      </c>
      <c r="G33" s="150" t="s">
        <v>91</v>
      </c>
      <c r="H33" s="150" t="s">
        <v>92</v>
      </c>
    </row>
    <row r="34" spans="1:8" ht="13.75" customHeight="1">
      <c r="A34" s="417" t="str">
        <f>'Bilan initial'!A24</f>
        <v>Passifs financiers à court terme (compte courant bancaire)</v>
      </c>
      <c r="B34" s="417"/>
      <c r="C34" s="417"/>
      <c r="D34" s="114">
        <f>'Bilan initial'!B24</f>
        <v>0</v>
      </c>
      <c r="E34" s="115">
        <f>Informations!B37</f>
        <v>0</v>
      </c>
      <c r="F34" s="114">
        <f>D34*E34</f>
        <v>0</v>
      </c>
      <c r="G34" s="116">
        <v>0</v>
      </c>
      <c r="H34" s="114">
        <f>F34+G34</f>
        <v>0</v>
      </c>
    </row>
    <row r="35" spans="1:8" ht="13.75" customHeight="1">
      <c r="A35" s="417" t="str">
        <f>'Bilan initial'!A28</f>
        <v>Passifs financiers à long terme (dettes de la banque à long terme)</v>
      </c>
      <c r="B35" s="417"/>
      <c r="C35" s="417"/>
      <c r="D35" s="114">
        <f>'Bilan initial'!B28</f>
        <v>80000</v>
      </c>
      <c r="E35" s="115">
        <f>Informations!B38</f>
        <v>3.5000000000000003E-2</v>
      </c>
      <c r="F35" s="114">
        <f>E35*D35</f>
        <v>2800.0000000000005</v>
      </c>
      <c r="G35" s="116"/>
      <c r="H35" s="114">
        <f>F35+G35</f>
        <v>2800.0000000000005</v>
      </c>
    </row>
    <row r="36" spans="1:8" ht="13.75" customHeight="1">
      <c r="A36" s="417" t="str">
        <f>'Bilan initial'!A29</f>
        <v xml:space="preserve">Autres éléments de passif à long terme (prêts des proches ou famille, …) </v>
      </c>
      <c r="B36" s="417"/>
      <c r="C36" s="417"/>
      <c r="D36" s="114">
        <f>'Bilan initial'!B29</f>
        <v>0</v>
      </c>
      <c r="E36" s="115">
        <f>Informations!B39</f>
        <v>0</v>
      </c>
      <c r="F36" s="114">
        <f>D36*E36</f>
        <v>0</v>
      </c>
      <c r="G36" s="116"/>
      <c r="H36" s="114">
        <f>F36+G36</f>
        <v>0</v>
      </c>
    </row>
    <row r="37" spans="1:8">
      <c r="A37" s="415" t="s">
        <v>350</v>
      </c>
      <c r="B37" s="415"/>
      <c r="C37" s="415"/>
      <c r="D37" s="148">
        <f>SUM(D34:D36)</f>
        <v>80000</v>
      </c>
      <c r="E37" s="147"/>
      <c r="F37" s="148">
        <f>SUM(F34:F36)</f>
        <v>2800.0000000000005</v>
      </c>
      <c r="G37" s="151">
        <f>SUM(G34:G36)</f>
        <v>0</v>
      </c>
      <c r="H37" s="148">
        <f>SUM(H34:H36)</f>
        <v>2800.0000000000005</v>
      </c>
    </row>
  </sheetData>
  <sheetProtection algorithmName="SHA-512" hashValue="EkiR53NZnxnwK8pIRIprZ1R7kMpdAOW/cK/H6GP4fdcVYSekOnJcJLBErQABcuiXkPu2V17s2VTu7uchZAcLAQ==" saltValue="V+hEPG6XDBdzFRLtvWMBgg==" spinCount="100000" sheet="1" objects="1" scenarios="1"/>
  <mergeCells count="14">
    <mergeCell ref="B7:C7"/>
    <mergeCell ref="B8:C8"/>
    <mergeCell ref="A31:H31"/>
    <mergeCell ref="A37:C37"/>
    <mergeCell ref="A33:C33"/>
    <mergeCell ref="A34:C34"/>
    <mergeCell ref="A35:C35"/>
    <mergeCell ref="A36:C36"/>
    <mergeCell ref="B6:C6"/>
    <mergeCell ref="J1:L1"/>
    <mergeCell ref="A1:H1"/>
    <mergeCell ref="B3:C3"/>
    <mergeCell ref="B4:C4"/>
    <mergeCell ref="B5:C5"/>
  </mergeCells>
  <phoneticPr fontId="6" type="noConversion"/>
  <dataValidations disablePrompts="1" count="1">
    <dataValidation type="list" allowBlank="1" showInputMessage="1" showErrorMessage="1" sqref="J1:L1" xr:uid="{00000000-0002-0000-0D00-000000000000}">
      <formula1>$K$4:$K$5</formula1>
    </dataValidation>
  </dataValidations>
  <hyperlinks>
    <hyperlink ref="A12" location="Exploitant" display="Charges sociales de l'exploitant" xr:uid="{00000000-0004-0000-0D00-000000000000}"/>
    <hyperlink ref="A17" location="Vehicules" display="Frais de véhicules" xr:uid="{00000000-0004-0000-0D00-000001000000}"/>
    <hyperlink ref="A18" location="Deplacements" display="Frais de déplacements et de voyages" xr:uid="{00000000-0004-0000-0D00-000002000000}"/>
    <hyperlink ref="A19" location="Assurances" display="Assurances de choses, taxes, droits, autorisations" xr:uid="{00000000-0004-0000-0D00-000003000000}"/>
    <hyperlink ref="A24" location="Marketing" display="Charges liées à la publicité" xr:uid="{00000000-0004-0000-0D00-000004000000}"/>
  </hyperlinks>
  <printOptions horizontalCentered="1"/>
  <pageMargins left="0.39370078740157483" right="0.39370078740157483" top="0.39370078740157483" bottom="0.39370078740157483" header="0.51181102362204722" footer="0.39370078740157483"/>
  <pageSetup paperSize="9" orientation="landscape" r:id="rId1"/>
  <headerFooter scaleWithDoc="0">
    <oddFooter>&amp;R11</oddFooter>
  </headerFooter>
  <drawing r:id="rId2"/>
  <legacyDrawing r:id="rId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3"/>
    <pageSetUpPr fitToPage="1"/>
  </sheetPr>
  <dimension ref="A1:H61"/>
  <sheetViews>
    <sheetView showZeros="0" topLeftCell="A25" workbookViewId="0">
      <selection activeCell="B34" sqref="B34"/>
    </sheetView>
  </sheetViews>
  <sheetFormatPr baseColWidth="10" defaultColWidth="10.84375" defaultRowHeight="12.9"/>
  <cols>
    <col min="1" max="1" width="41.69140625" style="18" bestFit="1" customWidth="1"/>
    <col min="2" max="2" width="15.3828125" style="18" customWidth="1"/>
    <col min="3" max="4" width="9.15234375" style="18" customWidth="1"/>
    <col min="5" max="5" width="11" style="18" customWidth="1"/>
    <col min="6" max="256" width="9.15234375" style="18" customWidth="1"/>
    <col min="257" max="16384" width="10.84375" style="18"/>
  </cols>
  <sheetData>
    <row r="1" spans="1:8" ht="36" customHeight="1">
      <c r="A1" s="438" t="s">
        <v>155</v>
      </c>
      <c r="B1" s="438"/>
      <c r="C1" s="438"/>
      <c r="D1" s="438"/>
      <c r="E1" s="438"/>
      <c r="F1" s="117"/>
      <c r="G1" s="117"/>
      <c r="H1" s="117"/>
    </row>
    <row r="2" spans="1:8">
      <c r="F2" s="92"/>
      <c r="G2" s="92"/>
      <c r="H2" s="92"/>
    </row>
    <row r="3" spans="1:8">
      <c r="A3" s="152" t="s">
        <v>189</v>
      </c>
      <c r="B3" s="153">
        <f>SUM(B4:B9)</f>
        <v>13181.2</v>
      </c>
      <c r="C3" s="448" t="s">
        <v>154</v>
      </c>
      <c r="D3" s="449"/>
      <c r="E3" s="449"/>
      <c r="F3" s="118"/>
      <c r="G3" s="118"/>
      <c r="H3" s="118"/>
    </row>
    <row r="4" spans="1:8">
      <c r="A4" s="119" t="s">
        <v>200</v>
      </c>
      <c r="B4" s="120">
        <f>TabAVS!B79</f>
        <v>10948.9</v>
      </c>
      <c r="C4" s="439"/>
      <c r="D4" s="440"/>
      <c r="E4" s="441"/>
      <c r="F4" s="92"/>
      <c r="G4" s="92"/>
      <c r="H4" s="92"/>
    </row>
    <row r="5" spans="1:8">
      <c r="A5" s="119" t="s">
        <v>303</v>
      </c>
      <c r="B5" s="120">
        <f>TabAVS!B80</f>
        <v>2232.3000000000002</v>
      </c>
      <c r="C5" s="442"/>
      <c r="D5" s="443"/>
      <c r="E5" s="444"/>
      <c r="F5" s="92"/>
      <c r="G5" s="92"/>
      <c r="H5" s="92"/>
    </row>
    <row r="6" spans="1:8">
      <c r="A6" s="119" t="s">
        <v>201</v>
      </c>
      <c r="B6" s="121">
        <v>0</v>
      </c>
      <c r="C6" s="442"/>
      <c r="D6" s="443"/>
      <c r="E6" s="444"/>
      <c r="F6" s="92"/>
      <c r="G6" s="92"/>
      <c r="H6" s="92"/>
    </row>
    <row r="7" spans="1:8">
      <c r="A7" s="119" t="s">
        <v>296</v>
      </c>
      <c r="B7" s="121"/>
      <c r="C7" s="442"/>
      <c r="D7" s="443"/>
      <c r="E7" s="444"/>
      <c r="F7" s="92"/>
      <c r="G7" s="92"/>
      <c r="H7" s="92"/>
    </row>
    <row r="8" spans="1:8">
      <c r="A8" s="119" t="s">
        <v>202</v>
      </c>
      <c r="B8" s="122"/>
      <c r="C8" s="442"/>
      <c r="D8" s="443"/>
      <c r="E8" s="444"/>
      <c r="F8" s="92"/>
      <c r="G8" s="92"/>
      <c r="H8" s="92"/>
    </row>
    <row r="9" spans="1:8">
      <c r="A9" s="119"/>
      <c r="B9" s="123"/>
      <c r="C9" s="445"/>
      <c r="D9" s="446"/>
      <c r="E9" s="447"/>
      <c r="F9" s="92"/>
      <c r="G9" s="92"/>
      <c r="H9" s="92"/>
    </row>
    <row r="10" spans="1:8">
      <c r="A10" s="152" t="s">
        <v>290</v>
      </c>
      <c r="B10" s="153">
        <f>SUM(B11:B15)</f>
        <v>21300</v>
      </c>
      <c r="C10" s="154"/>
      <c r="D10" s="154"/>
      <c r="E10" s="154"/>
      <c r="F10" s="118"/>
      <c r="G10" s="118"/>
      <c r="H10" s="118"/>
    </row>
    <row r="11" spans="1:8">
      <c r="A11" s="119" t="s">
        <v>295</v>
      </c>
      <c r="B11" s="256">
        <v>2500</v>
      </c>
      <c r="C11" s="418"/>
      <c r="D11" s="419"/>
      <c r="E11" s="420"/>
      <c r="F11" s="92"/>
      <c r="G11" s="92"/>
      <c r="H11" s="92"/>
    </row>
    <row r="12" spans="1:8">
      <c r="A12" s="119" t="s">
        <v>292</v>
      </c>
      <c r="B12" s="256">
        <v>1000</v>
      </c>
      <c r="C12" s="421"/>
      <c r="D12" s="422"/>
      <c r="E12" s="423"/>
      <c r="F12" s="92"/>
      <c r="G12" s="92"/>
      <c r="H12" s="92"/>
    </row>
    <row r="13" spans="1:8">
      <c r="A13" s="119" t="s">
        <v>293</v>
      </c>
      <c r="B13" s="256">
        <v>1600</v>
      </c>
      <c r="C13" s="421"/>
      <c r="D13" s="422"/>
      <c r="E13" s="423"/>
      <c r="F13" s="92"/>
      <c r="G13" s="92"/>
      <c r="H13" s="92"/>
    </row>
    <row r="14" spans="1:8">
      <c r="A14" s="119" t="s">
        <v>291</v>
      </c>
      <c r="B14" s="121">
        <f>1350*12</f>
        <v>16200</v>
      </c>
      <c r="C14" s="421"/>
      <c r="D14" s="422"/>
      <c r="E14" s="423"/>
      <c r="F14" s="92"/>
      <c r="G14" s="92"/>
      <c r="H14" s="92"/>
    </row>
    <row r="15" spans="1:8">
      <c r="A15" s="119"/>
      <c r="B15" s="121"/>
      <c r="C15" s="424"/>
      <c r="D15" s="425"/>
      <c r="E15" s="426"/>
      <c r="F15" s="92"/>
      <c r="G15" s="92"/>
      <c r="H15" s="92"/>
    </row>
    <row r="16" spans="1:8">
      <c r="A16" s="152" t="s">
        <v>199</v>
      </c>
      <c r="B16" s="153">
        <f>B17+B18+B24</f>
        <v>2800</v>
      </c>
      <c r="C16" s="154"/>
      <c r="D16" s="154"/>
      <c r="E16" s="154"/>
      <c r="F16" s="118"/>
      <c r="G16" s="118"/>
      <c r="H16" s="118"/>
    </row>
    <row r="17" spans="1:8">
      <c r="A17" s="155" t="s">
        <v>193</v>
      </c>
      <c r="B17" s="156"/>
      <c r="C17" s="427"/>
      <c r="D17" s="428"/>
      <c r="E17" s="429"/>
      <c r="F17" s="92"/>
      <c r="G17" s="92"/>
      <c r="H17" s="92"/>
    </row>
    <row r="18" spans="1:8">
      <c r="A18" s="155" t="s">
        <v>194</v>
      </c>
      <c r="B18" s="156"/>
      <c r="C18" s="430"/>
      <c r="D18" s="431"/>
      <c r="E18" s="432"/>
      <c r="F18" s="92"/>
      <c r="G18" s="92"/>
      <c r="H18" s="92"/>
    </row>
    <row r="19" spans="1:8">
      <c r="C19" s="430"/>
      <c r="D19" s="431"/>
      <c r="E19" s="432"/>
      <c r="F19" s="92"/>
      <c r="G19" s="92"/>
      <c r="H19" s="92"/>
    </row>
    <row r="20" spans="1:8">
      <c r="A20" s="436" t="s">
        <v>195</v>
      </c>
      <c r="B20" s="437"/>
      <c r="C20" s="430"/>
      <c r="D20" s="431"/>
      <c r="E20" s="432"/>
      <c r="F20" s="92"/>
      <c r="G20" s="92"/>
      <c r="H20" s="92"/>
    </row>
    <row r="21" spans="1:8">
      <c r="A21" s="124" t="s">
        <v>294</v>
      </c>
      <c r="B21" s="257">
        <v>25000</v>
      </c>
      <c r="C21" s="430"/>
      <c r="D21" s="431"/>
      <c r="E21" s="432"/>
      <c r="F21" s="92"/>
      <c r="G21" s="92"/>
      <c r="H21" s="92"/>
    </row>
    <row r="22" spans="1:8">
      <c r="A22" s="124" t="s">
        <v>198</v>
      </c>
      <c r="B22" s="258">
        <v>8</v>
      </c>
      <c r="C22" s="430"/>
      <c r="D22" s="431"/>
      <c r="E22" s="432"/>
      <c r="F22" s="92"/>
      <c r="G22" s="92"/>
      <c r="H22" s="92"/>
    </row>
    <row r="23" spans="1:8">
      <c r="A23" s="124" t="s">
        <v>196</v>
      </c>
      <c r="B23" s="258">
        <v>1.4</v>
      </c>
      <c r="C23" s="430"/>
      <c r="D23" s="431"/>
      <c r="E23" s="432"/>
      <c r="F23" s="92"/>
      <c r="G23" s="92"/>
      <c r="H23" s="92"/>
    </row>
    <row r="24" spans="1:8">
      <c r="A24" s="157" t="s">
        <v>197</v>
      </c>
      <c r="B24" s="158">
        <f>IF(B21*B22/100*B23=0,0,B21*B22/100*B23)</f>
        <v>2800</v>
      </c>
      <c r="C24" s="430"/>
      <c r="D24" s="431"/>
      <c r="E24" s="432"/>
      <c r="F24" s="92"/>
      <c r="G24" s="92"/>
      <c r="H24" s="92"/>
    </row>
    <row r="25" spans="1:8">
      <c r="C25" s="433"/>
      <c r="D25" s="434"/>
      <c r="E25" s="435"/>
      <c r="F25" s="92"/>
      <c r="G25" s="92"/>
      <c r="H25" s="92"/>
    </row>
    <row r="26" spans="1:8" ht="12.75" customHeight="1">
      <c r="A26" s="152" t="s">
        <v>82</v>
      </c>
      <c r="B26" s="153">
        <f>SUM(B27:B30)</f>
        <v>1020</v>
      </c>
      <c r="C26" s="154"/>
      <c r="D26" s="154"/>
      <c r="E26" s="154"/>
      <c r="F26" s="118"/>
      <c r="G26" s="118"/>
      <c r="H26" s="118"/>
    </row>
    <row r="27" spans="1:8">
      <c r="A27" s="119" t="s">
        <v>83</v>
      </c>
      <c r="B27" s="121">
        <v>1020</v>
      </c>
      <c r="C27" s="418"/>
      <c r="D27" s="419"/>
      <c r="E27" s="420"/>
      <c r="F27" s="92"/>
      <c r="G27" s="92"/>
      <c r="H27" s="92"/>
    </row>
    <row r="28" spans="1:8">
      <c r="A28" s="119" t="s">
        <v>297</v>
      </c>
      <c r="B28" s="121"/>
      <c r="C28" s="421"/>
      <c r="D28" s="422"/>
      <c r="E28" s="423"/>
      <c r="F28" s="92"/>
      <c r="G28" s="92"/>
      <c r="H28" s="92"/>
    </row>
    <row r="29" spans="1:8">
      <c r="A29" s="119" t="s">
        <v>84</v>
      </c>
      <c r="B29" s="121"/>
      <c r="C29" s="421"/>
      <c r="D29" s="422"/>
      <c r="E29" s="423"/>
      <c r="F29" s="92"/>
      <c r="G29" s="92"/>
      <c r="H29" s="92"/>
    </row>
    <row r="30" spans="1:8">
      <c r="A30" s="119" t="s">
        <v>85</v>
      </c>
      <c r="B30" s="121"/>
      <c r="C30" s="424"/>
      <c r="D30" s="425"/>
      <c r="E30" s="426"/>
      <c r="F30" s="92"/>
      <c r="G30" s="92"/>
      <c r="H30" s="92"/>
    </row>
    <row r="31" spans="1:8">
      <c r="A31" s="152" t="s">
        <v>86</v>
      </c>
      <c r="B31" s="153">
        <f>SUM(B32:B54)</f>
        <v>2000</v>
      </c>
      <c r="C31" s="154"/>
      <c r="D31" s="154"/>
      <c r="E31" s="154"/>
      <c r="F31" s="118"/>
      <c r="G31" s="118"/>
      <c r="H31" s="118"/>
    </row>
    <row r="32" spans="1:8">
      <c r="A32" s="125" t="s">
        <v>14</v>
      </c>
      <c r="B32" s="271" t="s">
        <v>387</v>
      </c>
      <c r="C32" s="427"/>
      <c r="D32" s="428"/>
      <c r="E32" s="429"/>
      <c r="F32" s="92"/>
      <c r="G32" s="92"/>
      <c r="H32" s="92"/>
    </row>
    <row r="33" spans="1:8">
      <c r="A33" s="125" t="s">
        <v>15</v>
      </c>
      <c r="B33" s="259"/>
      <c r="C33" s="430"/>
      <c r="D33" s="431"/>
      <c r="E33" s="432"/>
      <c r="F33" s="92"/>
      <c r="G33" s="92"/>
      <c r="H33" s="92"/>
    </row>
    <row r="34" spans="1:8">
      <c r="A34" s="125" t="s">
        <v>89</v>
      </c>
      <c r="B34" s="259">
        <v>1000</v>
      </c>
      <c r="C34" s="430"/>
      <c r="D34" s="431"/>
      <c r="E34" s="432"/>
      <c r="F34" s="92"/>
      <c r="G34" s="92"/>
      <c r="H34" s="92"/>
    </row>
    <row r="35" spans="1:8">
      <c r="A35" s="125" t="s">
        <v>87</v>
      </c>
      <c r="B35" s="259"/>
      <c r="C35" s="430"/>
      <c r="D35" s="431"/>
      <c r="E35" s="432"/>
      <c r="F35" s="92"/>
      <c r="G35" s="92"/>
      <c r="H35" s="92"/>
    </row>
    <row r="36" spans="1:8">
      <c r="A36" s="125" t="s">
        <v>135</v>
      </c>
      <c r="B36" s="259"/>
      <c r="C36" s="430"/>
      <c r="D36" s="431"/>
      <c r="E36" s="432"/>
      <c r="F36" s="92"/>
      <c r="G36" s="92"/>
      <c r="H36" s="92"/>
    </row>
    <row r="37" spans="1:8">
      <c r="A37" s="125" t="s">
        <v>16</v>
      </c>
      <c r="B37" s="259"/>
      <c r="C37" s="430"/>
      <c r="D37" s="431"/>
      <c r="E37" s="432"/>
      <c r="F37" s="92"/>
      <c r="G37" s="92"/>
      <c r="H37" s="92"/>
    </row>
    <row r="38" spans="1:8">
      <c r="A38" s="125" t="s">
        <v>17</v>
      </c>
      <c r="B38" s="259">
        <v>1000</v>
      </c>
      <c r="C38" s="430"/>
      <c r="D38" s="431"/>
      <c r="E38" s="432"/>
      <c r="F38" s="92"/>
      <c r="G38" s="92"/>
      <c r="H38" s="92"/>
    </row>
    <row r="39" spans="1:8">
      <c r="A39" s="125" t="s">
        <v>18</v>
      </c>
      <c r="B39" s="259"/>
      <c r="C39" s="430"/>
      <c r="D39" s="431"/>
      <c r="E39" s="432"/>
      <c r="F39" s="92"/>
      <c r="G39" s="92"/>
      <c r="H39" s="92"/>
    </row>
    <row r="40" spans="1:8">
      <c r="A40" s="125" t="s">
        <v>19</v>
      </c>
      <c r="B40" s="259"/>
      <c r="C40" s="430"/>
      <c r="D40" s="431"/>
      <c r="E40" s="432"/>
      <c r="F40" s="92"/>
      <c r="G40" s="92"/>
      <c r="H40" s="92"/>
    </row>
    <row r="41" spans="1:8">
      <c r="A41" s="125" t="s">
        <v>20</v>
      </c>
      <c r="B41" s="259"/>
      <c r="C41" s="430"/>
      <c r="D41" s="431"/>
      <c r="E41" s="432"/>
      <c r="F41" s="92"/>
      <c r="G41" s="92"/>
      <c r="H41" s="92"/>
    </row>
    <row r="42" spans="1:8">
      <c r="A42" s="125" t="s">
        <v>21</v>
      </c>
      <c r="B42" s="259"/>
      <c r="C42" s="430"/>
      <c r="D42" s="431"/>
      <c r="E42" s="432"/>
      <c r="F42" s="92"/>
      <c r="G42" s="92"/>
      <c r="H42" s="92"/>
    </row>
    <row r="43" spans="1:8">
      <c r="A43" s="125" t="s">
        <v>6</v>
      </c>
      <c r="B43" s="259"/>
      <c r="C43" s="430"/>
      <c r="D43" s="431"/>
      <c r="E43" s="432"/>
      <c r="F43" s="92"/>
      <c r="G43" s="92"/>
      <c r="H43" s="92"/>
    </row>
    <row r="44" spans="1:8">
      <c r="A44" s="125" t="s">
        <v>7</v>
      </c>
      <c r="B44" s="271" t="s">
        <v>387</v>
      </c>
      <c r="C44" s="430"/>
      <c r="D44" s="431"/>
      <c r="E44" s="432"/>
      <c r="F44" s="92"/>
      <c r="G44" s="92"/>
      <c r="H44" s="92"/>
    </row>
    <row r="45" spans="1:8">
      <c r="A45" s="125" t="s">
        <v>8</v>
      </c>
      <c r="B45" s="259"/>
      <c r="C45" s="430"/>
      <c r="D45" s="431"/>
      <c r="E45" s="432"/>
      <c r="F45" s="92"/>
      <c r="G45" s="92"/>
      <c r="H45" s="92"/>
    </row>
    <row r="46" spans="1:8">
      <c r="A46" s="125" t="s">
        <v>9</v>
      </c>
      <c r="B46" s="259"/>
      <c r="C46" s="430"/>
      <c r="D46" s="431"/>
      <c r="E46" s="432"/>
      <c r="F46" s="92"/>
      <c r="G46" s="92"/>
      <c r="H46" s="92"/>
    </row>
    <row r="47" spans="1:8">
      <c r="A47" s="125" t="s">
        <v>112</v>
      </c>
      <c r="B47" s="259"/>
      <c r="C47" s="430"/>
      <c r="D47" s="431"/>
      <c r="E47" s="432"/>
      <c r="F47" s="92"/>
      <c r="G47" s="92"/>
      <c r="H47" s="92"/>
    </row>
    <row r="48" spans="1:8">
      <c r="A48" s="125" t="s">
        <v>133</v>
      </c>
      <c r="B48" s="259"/>
      <c r="C48" s="430"/>
      <c r="D48" s="431"/>
      <c r="E48" s="432"/>
      <c r="F48" s="92"/>
      <c r="G48" s="92"/>
      <c r="H48" s="92"/>
    </row>
    <row r="49" spans="1:8">
      <c r="A49" s="125" t="s">
        <v>134</v>
      </c>
      <c r="B49" s="259"/>
      <c r="C49" s="430"/>
      <c r="D49" s="431"/>
      <c r="E49" s="432"/>
      <c r="F49" s="92"/>
      <c r="G49" s="92"/>
      <c r="H49" s="92"/>
    </row>
    <row r="50" spans="1:8">
      <c r="A50" s="125" t="s">
        <v>10</v>
      </c>
      <c r="B50" s="259"/>
      <c r="C50" s="430"/>
      <c r="D50" s="431"/>
      <c r="E50" s="432"/>
      <c r="F50" s="92"/>
      <c r="G50" s="92"/>
      <c r="H50" s="92"/>
    </row>
    <row r="51" spans="1:8">
      <c r="A51" s="125" t="s">
        <v>13</v>
      </c>
      <c r="B51" s="259"/>
      <c r="C51" s="430"/>
      <c r="D51" s="431"/>
      <c r="E51" s="432"/>
      <c r="F51" s="92"/>
      <c r="G51" s="92"/>
      <c r="H51" s="92"/>
    </row>
    <row r="52" spans="1:8">
      <c r="A52" s="125" t="s">
        <v>111</v>
      </c>
      <c r="B52" s="259"/>
      <c r="C52" s="430"/>
      <c r="D52" s="431"/>
      <c r="E52" s="432"/>
      <c r="F52" s="92"/>
      <c r="G52" s="92"/>
      <c r="H52" s="92"/>
    </row>
    <row r="53" spans="1:8">
      <c r="A53" s="125" t="s">
        <v>113</v>
      </c>
      <c r="B53" s="259">
        <v>0</v>
      </c>
      <c r="C53" s="430"/>
      <c r="D53" s="431"/>
      <c r="E53" s="432"/>
      <c r="F53" s="92"/>
      <c r="G53" s="92"/>
      <c r="H53" s="92"/>
    </row>
    <row r="54" spans="1:8">
      <c r="A54" s="159" t="s">
        <v>88</v>
      </c>
      <c r="B54" s="160"/>
      <c r="C54" s="433"/>
      <c r="D54" s="434"/>
      <c r="E54" s="435"/>
      <c r="F54" s="92"/>
      <c r="G54" s="92"/>
      <c r="H54" s="92"/>
    </row>
    <row r="55" spans="1:8">
      <c r="F55" s="92"/>
      <c r="G55" s="92"/>
      <c r="H55" s="92"/>
    </row>
    <row r="56" spans="1:8">
      <c r="F56" s="92"/>
      <c r="G56" s="92"/>
      <c r="H56" s="92"/>
    </row>
    <row r="57" spans="1:8">
      <c r="F57" s="92"/>
      <c r="G57" s="92"/>
      <c r="H57" s="92"/>
    </row>
    <row r="58" spans="1:8">
      <c r="F58" s="92"/>
      <c r="G58" s="92"/>
      <c r="H58" s="92"/>
    </row>
    <row r="59" spans="1:8">
      <c r="F59" s="92"/>
      <c r="G59" s="92"/>
      <c r="H59" s="92"/>
    </row>
    <row r="60" spans="1:8">
      <c r="F60" s="92"/>
      <c r="G60" s="92"/>
      <c r="H60" s="92"/>
    </row>
    <row r="61" spans="1:8">
      <c r="F61" s="92"/>
      <c r="G61" s="92"/>
      <c r="H61" s="92"/>
    </row>
  </sheetData>
  <sheetProtection password="C628" sheet="1" objects="1" scenarios="1"/>
  <mergeCells count="8">
    <mergeCell ref="C27:E30"/>
    <mergeCell ref="C32:E54"/>
    <mergeCell ref="A20:B20"/>
    <mergeCell ref="A1:E1"/>
    <mergeCell ref="C4:E9"/>
    <mergeCell ref="C3:E3"/>
    <mergeCell ref="C11:E15"/>
    <mergeCell ref="C17:E25"/>
  </mergeCells>
  <phoneticPr fontId="6" type="noConversion"/>
  <pageMargins left="0.78740157480314965" right="0.78740157480314965" top="0.98425196850393704" bottom="0.78740157480314965" header="0.51181102362204722" footer="0.39370078740157483"/>
  <pageSetup paperSize="9" orientation="portrait" r:id="rId1"/>
  <headerFooter scaleWithDoc="0">
    <oddFooter>&amp;R12</oddFooter>
  </headerFooter>
  <drawing r:id="rId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theme="3"/>
    <pageSetUpPr fitToPage="1"/>
  </sheetPr>
  <dimension ref="A1:L34"/>
  <sheetViews>
    <sheetView showZeros="0" workbookViewId="0">
      <selection activeCell="B28" sqref="B28"/>
    </sheetView>
  </sheetViews>
  <sheetFormatPr baseColWidth="10" defaultColWidth="9.15234375" defaultRowHeight="12.9"/>
  <cols>
    <col min="1" max="1" width="52.84375" style="21" customWidth="1"/>
    <col min="2" max="2" width="9.84375" style="21" bestFit="1" customWidth="1"/>
    <col min="3" max="3" width="7.15234375" style="21" bestFit="1" customWidth="1"/>
    <col min="4" max="8" width="18.3828125" style="21" customWidth="1"/>
    <col min="9" max="16384" width="9.15234375" style="21"/>
  </cols>
  <sheetData>
    <row r="1" spans="1:12" ht="36" customHeight="1">
      <c r="A1" s="409" t="str">
        <f>CONCATENATE("10. Compte d'exploitation du"," ",TEXT(Informations!B25,"jj.mm.aaaa")," ","au"," ",TEXT(Informations!B26,"jj.mm.aaaa"))</f>
        <v>10. Compte d'exploitation du 01.01.2021 au 31.12.2021</v>
      </c>
      <c r="B1" s="409"/>
      <c r="C1" s="409"/>
      <c r="D1" s="409"/>
      <c r="E1" s="409"/>
      <c r="F1" s="409"/>
      <c r="G1" s="409"/>
      <c r="H1" s="409"/>
      <c r="K1" s="126">
        <f>Informations!B27</f>
        <v>12</v>
      </c>
      <c r="L1" s="127">
        <f>Informations!B33</f>
        <v>364.56</v>
      </c>
    </row>
    <row r="2" spans="1:12">
      <c r="A2" s="103"/>
      <c r="B2" s="104"/>
      <c r="C2" s="105"/>
    </row>
    <row r="3" spans="1:12" ht="25.75">
      <c r="A3" s="140" t="s">
        <v>167</v>
      </c>
      <c r="B3" s="452" t="s">
        <v>170</v>
      </c>
      <c r="C3" s="452"/>
      <c r="D3" s="166" t="str">
        <f>'Compte d''exploitation'!D3</f>
        <v>Restauration rapide Usines</v>
      </c>
      <c r="E3" s="166" t="str">
        <f>'Compte d''exploitation'!E3</f>
        <v>Food-Truck Soirs</v>
      </c>
      <c r="F3" s="166" t="str">
        <f>'Compte d''exploitation'!F3</f>
        <v>Food-truck week-end</v>
      </c>
      <c r="G3" s="166" t="str">
        <f>'Compte d''exploitation'!G3</f>
        <v/>
      </c>
      <c r="H3" s="166" t="str">
        <f>'Compte d''exploitation'!H3</f>
        <v/>
      </c>
    </row>
    <row r="4" spans="1:12" ht="12.75" customHeight="1">
      <c r="A4" s="142" t="s">
        <v>158</v>
      </c>
      <c r="B4" s="453">
        <f>'Compte d''exploitation'!B4/12*'Compte d''exploitation période'!K1</f>
        <v>423360</v>
      </c>
      <c r="C4" s="453"/>
      <c r="D4" s="114">
        <f>$B$4*D5/100</f>
        <v>0</v>
      </c>
      <c r="E4" s="114">
        <f>$B$4*E5/100</f>
        <v>82131.839999999997</v>
      </c>
      <c r="F4" s="114">
        <f>$B$4*F5/100</f>
        <v>341228.16</v>
      </c>
      <c r="G4" s="114">
        <f>$B$4*G5/100</f>
        <v>0</v>
      </c>
      <c r="H4" s="114">
        <f>$B$4*H5/100</f>
        <v>0</v>
      </c>
    </row>
    <row r="5" spans="1:12">
      <c r="A5" s="142" t="s">
        <v>171</v>
      </c>
      <c r="B5" s="454">
        <f>SUM(D5:H5)</f>
        <v>100</v>
      </c>
      <c r="C5" s="454"/>
      <c r="D5" s="161">
        <f>'Compte d''exploitation'!D5</f>
        <v>0</v>
      </c>
      <c r="E5" s="161">
        <f>'Compte d''exploitation'!E5</f>
        <v>19.399999999999999</v>
      </c>
      <c r="F5" s="161">
        <f>'Compte d''exploitation'!F5</f>
        <v>80.599999999999994</v>
      </c>
      <c r="G5" s="161">
        <f>'Compte d''exploitation'!G5</f>
        <v>0</v>
      </c>
      <c r="H5" s="161">
        <f>'Compte d''exploitation'!H5</f>
        <v>0</v>
      </c>
    </row>
    <row r="6" spans="1:12" ht="12.75" customHeight="1">
      <c r="A6" s="142" t="s">
        <v>159</v>
      </c>
      <c r="B6" s="453">
        <f>(100-B8)*B4/100</f>
        <v>151200.06048000004</v>
      </c>
      <c r="C6" s="453"/>
      <c r="D6" s="143">
        <f>D4*(100-D8)/100</f>
        <v>0</v>
      </c>
      <c r="E6" s="143">
        <f>E4*(100-E8)/100</f>
        <v>29332.811733119994</v>
      </c>
      <c r="F6" s="143">
        <f>F4*(100-F8)/100</f>
        <v>121867.24874687998</v>
      </c>
      <c r="G6" s="143">
        <f>G4*(100-G8)/100</f>
        <v>0</v>
      </c>
      <c r="H6" s="143">
        <f>H4*(100-H8)/100</f>
        <v>0</v>
      </c>
    </row>
    <row r="7" spans="1:12">
      <c r="A7" s="147" t="s">
        <v>50</v>
      </c>
      <c r="B7" s="450">
        <f>B4-B6</f>
        <v>272159.93951999996</v>
      </c>
      <c r="C7" s="450"/>
      <c r="D7" s="148">
        <f>D4-D6</f>
        <v>0</v>
      </c>
      <c r="E7" s="148">
        <f>E4-E6</f>
        <v>52799.028266880006</v>
      </c>
      <c r="F7" s="148">
        <f>F4-F6</f>
        <v>219360.91125311999</v>
      </c>
      <c r="G7" s="148">
        <f>G4-G6</f>
        <v>0</v>
      </c>
      <c r="H7" s="148">
        <f>H4-H6</f>
        <v>0</v>
      </c>
    </row>
    <row r="8" spans="1:12">
      <c r="A8" s="168" t="s">
        <v>192</v>
      </c>
      <c r="B8" s="455">
        <f>SUM(D10:H10)/100</f>
        <v>64.285699999999991</v>
      </c>
      <c r="C8" s="455"/>
      <c r="D8" s="169">
        <f>'Compte d''exploitation'!D8</f>
        <v>0</v>
      </c>
      <c r="E8" s="169">
        <f>'Compte d''exploitation'!E8</f>
        <v>64.285700000000006</v>
      </c>
      <c r="F8" s="170">
        <f>'Compte d''exploitation'!F8</f>
        <v>64.285700000000006</v>
      </c>
      <c r="G8" s="170">
        <f>'Compte d''exploitation'!G8</f>
        <v>0</v>
      </c>
      <c r="H8" s="170">
        <f>'Compte d''exploitation'!H8</f>
        <v>0</v>
      </c>
    </row>
    <row r="9" spans="1:12">
      <c r="A9" s="162"/>
      <c r="B9" s="110"/>
      <c r="D9" s="163"/>
      <c r="E9" s="163"/>
      <c r="F9" s="163"/>
      <c r="G9" s="163"/>
      <c r="H9" s="163"/>
    </row>
    <row r="10" spans="1:12">
      <c r="A10" s="140" t="s">
        <v>168</v>
      </c>
      <c r="B10" s="141" t="s">
        <v>109</v>
      </c>
      <c r="C10" s="141" t="s">
        <v>169</v>
      </c>
      <c r="D10" s="265">
        <f>D5*D8</f>
        <v>0</v>
      </c>
      <c r="E10" s="265">
        <f>E5*E8</f>
        <v>1247.14258</v>
      </c>
      <c r="F10" s="265">
        <f>F5*F8</f>
        <v>5181.42742</v>
      </c>
      <c r="G10" s="21">
        <f>G5*G8</f>
        <v>0</v>
      </c>
      <c r="H10" s="21">
        <f>H5*H8</f>
        <v>0</v>
      </c>
    </row>
    <row r="11" spans="1:12">
      <c r="A11" s="142" t="s">
        <v>78</v>
      </c>
      <c r="B11" s="143">
        <f>('Compte d''exploitation'!B11/12)*$K$1</f>
        <v>106200</v>
      </c>
      <c r="C11" s="144">
        <f>IF($B$7=0,0,B11/$B$7)</f>
        <v>0.39021172692535738</v>
      </c>
    </row>
    <row r="12" spans="1:12">
      <c r="A12" s="142" t="s">
        <v>189</v>
      </c>
      <c r="B12" s="143">
        <f>('Compte d''exploitation'!B12/12)*$K$1</f>
        <v>13181.2</v>
      </c>
      <c r="C12" s="144">
        <f t="shared" ref="C12:C27" si="0">IF($B$7=0,0,B12/$B$7)</f>
        <v>4.8431815583319403E-2</v>
      </c>
    </row>
    <row r="13" spans="1:12">
      <c r="A13" s="142" t="s">
        <v>160</v>
      </c>
      <c r="B13" s="143">
        <f>('Compte d''exploitation'!B13/12)*$K$1</f>
        <v>12000</v>
      </c>
      <c r="C13" s="144">
        <f t="shared" si="0"/>
        <v>4.4091720556537553E-2</v>
      </c>
    </row>
    <row r="14" spans="1:12">
      <c r="A14" s="142" t="s">
        <v>191</v>
      </c>
      <c r="B14" s="143">
        <f>('Compte d''exploitation'!B14/12)*$K$1</f>
        <v>1800</v>
      </c>
      <c r="C14" s="144">
        <f t="shared" si="0"/>
        <v>6.613758083480633E-3</v>
      </c>
    </row>
    <row r="15" spans="1:12">
      <c r="A15" s="142" t="s">
        <v>51</v>
      </c>
      <c r="B15" s="143">
        <v>21600</v>
      </c>
      <c r="C15" s="144">
        <f t="shared" si="0"/>
        <v>7.9365097001767596E-2</v>
      </c>
    </row>
    <row r="16" spans="1:12" ht="12.75" customHeight="1">
      <c r="A16" s="142" t="s">
        <v>298</v>
      </c>
      <c r="B16" s="143">
        <f>('Compte d''exploitation'!B16/12)*$K$1</f>
        <v>1200</v>
      </c>
      <c r="C16" s="144">
        <f t="shared" si="0"/>
        <v>4.4091720556537553E-3</v>
      </c>
    </row>
    <row r="17" spans="1:8">
      <c r="A17" s="142" t="s">
        <v>290</v>
      </c>
      <c r="B17" s="143">
        <f>('Compte d''exploitation'!B17/12)*$K$1</f>
        <v>21300</v>
      </c>
      <c r="C17" s="144">
        <f t="shared" si="0"/>
        <v>7.8262803987854165E-2</v>
      </c>
    </row>
    <row r="18" spans="1:8">
      <c r="A18" s="142" t="s">
        <v>199</v>
      </c>
      <c r="B18" s="143">
        <f>('Compte d''exploitation'!B18/12)*$K$1</f>
        <v>2800</v>
      </c>
      <c r="C18" s="144">
        <f t="shared" si="0"/>
        <v>1.0288068129858764E-2</v>
      </c>
    </row>
    <row r="19" spans="1:8">
      <c r="A19" s="142" t="s">
        <v>52</v>
      </c>
      <c r="B19" s="143">
        <f>('Compte d''exploitation'!B19/12)*$K$1</f>
        <v>1020</v>
      </c>
      <c r="C19" s="144">
        <f t="shared" si="0"/>
        <v>3.7477962473056923E-3</v>
      </c>
    </row>
    <row r="20" spans="1:8">
      <c r="A20" s="142" t="s">
        <v>173</v>
      </c>
      <c r="B20" s="143">
        <f>('Compte d''exploitation'!B20/12)*$K$1</f>
        <v>0</v>
      </c>
      <c r="C20" s="144">
        <f t="shared" si="0"/>
        <v>0</v>
      </c>
    </row>
    <row r="21" spans="1:8">
      <c r="A21" s="142" t="s">
        <v>174</v>
      </c>
      <c r="B21" s="143">
        <f>('Compte d''exploitation'!B21/12)*$K$1</f>
        <v>3000</v>
      </c>
      <c r="C21" s="144">
        <f t="shared" si="0"/>
        <v>1.1022930139134388E-2</v>
      </c>
    </row>
    <row r="22" spans="1:8">
      <c r="A22" s="142" t="s">
        <v>73</v>
      </c>
      <c r="B22" s="143">
        <f>('Compte d''exploitation'!B22/12)*$K$1</f>
        <v>1200</v>
      </c>
      <c r="C22" s="144">
        <f t="shared" si="0"/>
        <v>4.4091720556537553E-3</v>
      </c>
    </row>
    <row r="23" spans="1:8">
      <c r="A23" s="142" t="s">
        <v>74</v>
      </c>
      <c r="B23" s="143">
        <f>('Compte d''exploitation'!B23/12)*$K$1</f>
        <v>1200</v>
      </c>
      <c r="C23" s="144">
        <f t="shared" si="0"/>
        <v>4.4091720556537553E-3</v>
      </c>
    </row>
    <row r="24" spans="1:8">
      <c r="A24" s="142" t="s">
        <v>175</v>
      </c>
      <c r="B24" s="143">
        <f>('Compte d''exploitation'!B24/12)*$K$1</f>
        <v>2000</v>
      </c>
      <c r="C24" s="144">
        <f t="shared" si="0"/>
        <v>7.3486200927562594E-3</v>
      </c>
    </row>
    <row r="25" spans="1:8">
      <c r="A25" s="142" t="s">
        <v>217</v>
      </c>
      <c r="B25" s="143">
        <f>('Compte d''exploitation'!B25/12)*$K$1</f>
        <v>3000</v>
      </c>
      <c r="C25" s="144">
        <f t="shared" si="0"/>
        <v>1.1022930139134388E-2</v>
      </c>
    </row>
    <row r="26" spans="1:8">
      <c r="A26" s="142" t="s">
        <v>176</v>
      </c>
      <c r="B26" s="143">
        <f>('Compte d''exploitation'!B26/12)*$K$1</f>
        <v>2800.0000000000005</v>
      </c>
      <c r="C26" s="144">
        <f t="shared" si="0"/>
        <v>1.0288068129858765E-2</v>
      </c>
    </row>
    <row r="27" spans="1:8">
      <c r="A27" s="142" t="s">
        <v>110</v>
      </c>
      <c r="B27" s="143">
        <f>('Compte d''exploitation'!B27/12)*$K$1</f>
        <v>27166</v>
      </c>
      <c r="C27" s="144">
        <f t="shared" si="0"/>
        <v>9.9816306719908265E-2</v>
      </c>
    </row>
    <row r="28" spans="1:8">
      <c r="A28" s="147" t="s">
        <v>72</v>
      </c>
      <c r="B28" s="148">
        <f>SUM(B11:B27)</f>
        <v>221467.2</v>
      </c>
      <c r="C28" s="149">
        <f>IF($B$7=0,0,B28/$B$7)</f>
        <v>0.81373915790323459</v>
      </c>
    </row>
    <row r="29" spans="1:8">
      <c r="A29" s="168" t="s">
        <v>177</v>
      </c>
      <c r="B29" s="170">
        <f>B7-B28</f>
        <v>50692.739519999945</v>
      </c>
      <c r="C29" s="170"/>
    </row>
    <row r="30" spans="1:8">
      <c r="A30" s="164"/>
      <c r="B30" s="165"/>
      <c r="C30" s="165"/>
      <c r="D30" s="4"/>
      <c r="E30" s="4"/>
      <c r="F30" s="4"/>
      <c r="G30" s="4"/>
      <c r="H30" s="4"/>
    </row>
    <row r="31" spans="1:8" ht="25.75">
      <c r="B31" s="452" t="s">
        <v>170</v>
      </c>
      <c r="C31" s="452"/>
      <c r="D31" s="166" t="str">
        <f t="shared" ref="D31:H31" si="1">D3</f>
        <v>Restauration rapide Usines</v>
      </c>
      <c r="E31" s="166" t="str">
        <f t="shared" si="1"/>
        <v>Food-Truck Soirs</v>
      </c>
      <c r="F31" s="166" t="str">
        <f t="shared" si="1"/>
        <v>Food-truck week-end</v>
      </c>
      <c r="G31" s="166" t="str">
        <f t="shared" si="1"/>
        <v/>
      </c>
      <c r="H31" s="166" t="str">
        <f t="shared" si="1"/>
        <v/>
      </c>
    </row>
    <row r="32" spans="1:8">
      <c r="A32" s="167" t="s">
        <v>75</v>
      </c>
      <c r="B32" s="450">
        <f>IF(B8=0,0,B28*100/B8)</f>
        <v>344504.60988991335</v>
      </c>
      <c r="C32" s="450"/>
      <c r="D32" s="148">
        <f>$B$32*D5/100</f>
        <v>0</v>
      </c>
      <c r="E32" s="148">
        <f>$B$32*E5/100</f>
        <v>66833.894318643186</v>
      </c>
      <c r="F32" s="148">
        <f>$B$32*F5/100</f>
        <v>277670.71557127015</v>
      </c>
      <c r="G32" s="148">
        <f>$B$32*G5/100</f>
        <v>0</v>
      </c>
      <c r="H32" s="148">
        <f>$B$32*H5/100</f>
        <v>0</v>
      </c>
    </row>
    <row r="33" spans="1:8">
      <c r="A33" s="171" t="s">
        <v>76</v>
      </c>
      <c r="B33" s="451">
        <f>IF($K$1=0,0,B32*12/Informations!$B$29/$K$1)</f>
        <v>28708.717490826111</v>
      </c>
      <c r="C33" s="451"/>
      <c r="D33" s="143">
        <f>IF($K$1=0,0,D32*12/Informations!$B$29/$K$1)</f>
        <v>0</v>
      </c>
      <c r="E33" s="143">
        <f>IF($K$1=0,0,E32*12/Informations!$B$29/$K$1)</f>
        <v>5569.4911932202658</v>
      </c>
      <c r="F33" s="143">
        <f>IF($K$1=0,0,F32*12/Informations!$B$29/$K$1)</f>
        <v>23139.226297605845</v>
      </c>
      <c r="G33" s="143">
        <f>IF($K$1=0,0,G32*12/Informations!$B$29/$K$1)</f>
        <v>0</v>
      </c>
      <c r="H33" s="143">
        <f>IF($K$1=0,0,H32*12/Informations!$B$29/$K$1)</f>
        <v>0</v>
      </c>
    </row>
    <row r="34" spans="1:8">
      <c r="A34" s="171" t="s">
        <v>77</v>
      </c>
      <c r="B34" s="451">
        <f>IF(L1=0,0,B32/$L$1)</f>
        <v>944.98740917794976</v>
      </c>
      <c r="C34" s="451"/>
      <c r="D34" s="143">
        <f>IF($L$1=0,0,D32/$L$1)</f>
        <v>0</v>
      </c>
      <c r="E34" s="143">
        <f>IF($L$1=0,0,E32/$L$1)</f>
        <v>183.32755738052222</v>
      </c>
      <c r="F34" s="143">
        <f>IF($L$1=0,0,F32/$L$1)</f>
        <v>761.65985179742745</v>
      </c>
      <c r="G34" s="143">
        <f>IF($L$1=0,0,G32/$L$1)</f>
        <v>0</v>
      </c>
      <c r="H34" s="143">
        <f>IF($L$1=0,0,H32/$L$1)</f>
        <v>0</v>
      </c>
    </row>
  </sheetData>
  <mergeCells count="11">
    <mergeCell ref="B32:C32"/>
    <mergeCell ref="B33:C33"/>
    <mergeCell ref="A1:H1"/>
    <mergeCell ref="B34:C34"/>
    <mergeCell ref="B3:C3"/>
    <mergeCell ref="B4:C4"/>
    <mergeCell ref="B5:C5"/>
    <mergeCell ref="B6:C6"/>
    <mergeCell ref="B7:C7"/>
    <mergeCell ref="B8:C8"/>
    <mergeCell ref="B31:C31"/>
  </mergeCells>
  <phoneticPr fontId="6" type="noConversion"/>
  <printOptions horizontalCentered="1"/>
  <pageMargins left="0.39370078740157483" right="0.39370078740157483" top="0.39370078740157483" bottom="0.39370078740157483" header="0.51181102362204722" footer="0.39370078740157483"/>
  <pageSetup paperSize="9" scale="87" orientation="landscape" r:id="rId1"/>
  <headerFooter scaleWithDoc="0">
    <oddFooter>&amp;R13</oddFooter>
  </headerFooter>
  <drawing r:id="rId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theme="3"/>
    <pageSetUpPr fitToPage="1"/>
  </sheetPr>
  <dimension ref="A1:K34"/>
  <sheetViews>
    <sheetView showZeros="0" workbookViewId="0">
      <selection activeCell="B19" sqref="B19"/>
    </sheetView>
  </sheetViews>
  <sheetFormatPr baseColWidth="10" defaultColWidth="10.84375" defaultRowHeight="12.9"/>
  <cols>
    <col min="1" max="1" width="60.69140625" style="18" customWidth="1"/>
    <col min="2" max="3" width="9.15234375" style="18" customWidth="1"/>
    <col min="4" max="7" width="15.3828125" style="18" customWidth="1"/>
    <col min="8" max="256" width="9.15234375" style="18" customWidth="1"/>
    <col min="257" max="16384" width="10.84375" style="18"/>
  </cols>
  <sheetData>
    <row r="1" spans="1:11" ht="36" customHeight="1">
      <c r="A1" s="438" t="s">
        <v>259</v>
      </c>
      <c r="B1" s="438"/>
      <c r="C1" s="438"/>
      <c r="D1" s="438"/>
      <c r="E1" s="438"/>
      <c r="F1" s="438"/>
      <c r="G1" s="438"/>
    </row>
    <row r="3" spans="1:11" ht="14.15">
      <c r="A3" s="457" t="s">
        <v>172</v>
      </c>
      <c r="B3" s="458"/>
      <c r="C3" s="458"/>
      <c r="D3" s="458"/>
      <c r="E3" s="458"/>
      <c r="F3" s="458"/>
      <c r="G3" s="459"/>
      <c r="H3" s="73"/>
      <c r="I3" s="73"/>
      <c r="J3" s="73"/>
      <c r="K3" s="73"/>
    </row>
    <row r="4" spans="1:11">
      <c r="A4" s="189" t="s">
        <v>276</v>
      </c>
      <c r="B4" s="190">
        <f>'Bilan initial'!B24*-1</f>
        <v>0</v>
      </c>
      <c r="H4" s="92"/>
      <c r="I4" s="92"/>
      <c r="J4" s="92"/>
      <c r="K4" s="92"/>
    </row>
    <row r="5" spans="1:11">
      <c r="A5" s="155" t="s">
        <v>95</v>
      </c>
      <c r="B5" s="191">
        <f>'Bilan initial'!B5</f>
        <v>230</v>
      </c>
    </row>
    <row r="6" spans="1:11">
      <c r="B6" s="128"/>
    </row>
    <row r="7" spans="1:11">
      <c r="A7" s="155" t="s">
        <v>96</v>
      </c>
      <c r="B7" s="191">
        <f>'Bilan initial'!B6</f>
        <v>1500</v>
      </c>
    </row>
    <row r="8" spans="1:11">
      <c r="A8" s="192" t="s">
        <v>98</v>
      </c>
      <c r="B8" s="193">
        <f>'Compte d''exploitation période'!B4</f>
        <v>423360</v>
      </c>
    </row>
    <row r="9" spans="1:11">
      <c r="A9" s="194" t="s">
        <v>99</v>
      </c>
      <c r="B9" s="195">
        <f>-1*F32</f>
        <v>0</v>
      </c>
    </row>
    <row r="10" spans="1:11">
      <c r="A10" s="92"/>
      <c r="B10" s="196"/>
    </row>
    <row r="11" spans="1:11">
      <c r="A11" s="155" t="s">
        <v>97</v>
      </c>
      <c r="B11" s="191">
        <f>'Bilan initial'!B23*-1</f>
        <v>-32000</v>
      </c>
    </row>
    <row r="12" spans="1:11">
      <c r="A12" s="192" t="s">
        <v>100</v>
      </c>
      <c r="B12" s="193">
        <f>-1*E32</f>
        <v>-151200.06047999999</v>
      </c>
    </row>
    <row r="13" spans="1:11">
      <c r="A13" s="194" t="s">
        <v>277</v>
      </c>
      <c r="B13" s="195">
        <f>1*G32</f>
        <v>0</v>
      </c>
    </row>
    <row r="14" spans="1:11">
      <c r="A14" s="92"/>
      <c r="B14" s="196"/>
    </row>
    <row r="15" spans="1:11">
      <c r="A15" s="192" t="s">
        <v>220</v>
      </c>
      <c r="B15" s="193">
        <f>-1*('Compte d''exploitation période'!B28-'Compte d''exploitation période'!B27)</f>
        <v>-194301.2</v>
      </c>
    </row>
    <row r="16" spans="1:11">
      <c r="A16" s="194" t="s">
        <v>101</v>
      </c>
      <c r="B16" s="195">
        <f>IF('Compte d''exploitation période'!K1=0,0,'Compte d''exploitation période'!B23+(('Compte d''exploitation période'!B22/'Compte d''exploitation période'!K1)*2))</f>
        <v>1400</v>
      </c>
    </row>
    <row r="17" spans="1:7">
      <c r="A17" s="92"/>
      <c r="B17" s="196"/>
    </row>
    <row r="18" spans="1:7">
      <c r="A18" s="192" t="s">
        <v>102</v>
      </c>
      <c r="B18" s="193">
        <f>(Plan_investissements!B32)*-1</f>
        <v>0</v>
      </c>
    </row>
    <row r="19" spans="1:7">
      <c r="A19" s="192" t="s">
        <v>103</v>
      </c>
      <c r="B19" s="197">
        <v>-20000</v>
      </c>
    </row>
    <row r="20" spans="1:7">
      <c r="A20" s="192" t="s">
        <v>218</v>
      </c>
      <c r="B20" s="197">
        <v>-6000</v>
      </c>
    </row>
    <row r="22" spans="1:7">
      <c r="A22" s="198" t="s">
        <v>219</v>
      </c>
      <c r="B22" s="199">
        <f>SUM(B4:B20)</f>
        <v>22988.739520000003</v>
      </c>
    </row>
    <row r="24" spans="1:7" ht="14.15">
      <c r="A24" s="460" t="s">
        <v>273</v>
      </c>
      <c r="B24" s="460"/>
      <c r="C24" s="460"/>
      <c r="D24" s="460"/>
      <c r="E24" s="460"/>
      <c r="F24" s="460"/>
      <c r="G24" s="460"/>
    </row>
    <row r="25" spans="1:7" ht="12.75" customHeight="1">
      <c r="B25" s="456" t="s">
        <v>226</v>
      </c>
      <c r="C25" s="456"/>
      <c r="D25" s="456" t="s">
        <v>275</v>
      </c>
      <c r="E25" s="456"/>
      <c r="F25" s="456"/>
      <c r="G25" s="456"/>
    </row>
    <row r="26" spans="1:7">
      <c r="B26" s="202" t="s">
        <v>227</v>
      </c>
      <c r="C26" s="202" t="s">
        <v>228</v>
      </c>
      <c r="D26" s="202" t="s">
        <v>230</v>
      </c>
      <c r="E26" s="202" t="s">
        <v>231</v>
      </c>
      <c r="F26" s="202" t="s">
        <v>232</v>
      </c>
      <c r="G26" s="202" t="s">
        <v>233</v>
      </c>
    </row>
    <row r="27" spans="1:7">
      <c r="A27" s="200" t="str">
        <f>'Compte d''exploitation'!D3</f>
        <v>Restauration rapide Usines</v>
      </c>
      <c r="B27" s="203">
        <f>Produits_prestations!D13</f>
        <v>30</v>
      </c>
      <c r="C27" s="203">
        <f>Produits_prestations!E13</f>
        <v>0</v>
      </c>
      <c r="D27" s="204">
        <f>'Compte d''exploitation période'!D4</f>
        <v>0</v>
      </c>
      <c r="E27" s="204">
        <f>'Compte d''exploitation période'!D6</f>
        <v>0</v>
      </c>
      <c r="F27" s="204">
        <f t="shared" ref="F27:G31" si="0">IF($B$34=0,0,(D27/$B$34)*B27)</f>
        <v>0</v>
      </c>
      <c r="G27" s="204">
        <f t="shared" si="0"/>
        <v>0</v>
      </c>
    </row>
    <row r="28" spans="1:7">
      <c r="A28" s="200" t="str">
        <f>'Compte d''exploitation'!E3</f>
        <v>Food-Truck Soirs</v>
      </c>
      <c r="B28" s="203">
        <f>Produits_prestations!D14</f>
        <v>0</v>
      </c>
      <c r="C28" s="203">
        <f>Produits_prestations!E14</f>
        <v>0</v>
      </c>
      <c r="D28" s="204">
        <f>'Compte d''exploitation période'!E4</f>
        <v>82131.839999999997</v>
      </c>
      <c r="E28" s="204">
        <f>'Compte d''exploitation période'!E6</f>
        <v>29332.811733119994</v>
      </c>
      <c r="F28" s="204">
        <f t="shared" si="0"/>
        <v>0</v>
      </c>
      <c r="G28" s="204">
        <f t="shared" si="0"/>
        <v>0</v>
      </c>
    </row>
    <row r="29" spans="1:7">
      <c r="A29" s="200" t="str">
        <f>'Compte d''exploitation'!F3</f>
        <v>Food-truck week-end</v>
      </c>
      <c r="B29" s="203">
        <f>Produits_prestations!D15</f>
        <v>0</v>
      </c>
      <c r="C29" s="203">
        <f>Produits_prestations!E15</f>
        <v>0</v>
      </c>
      <c r="D29" s="204">
        <f>'Compte d''exploitation période'!F4</f>
        <v>341228.16</v>
      </c>
      <c r="E29" s="204">
        <f>'Compte d''exploitation période'!F6</f>
        <v>121867.24874687998</v>
      </c>
      <c r="F29" s="204">
        <f t="shared" si="0"/>
        <v>0</v>
      </c>
      <c r="G29" s="204">
        <f t="shared" si="0"/>
        <v>0</v>
      </c>
    </row>
    <row r="30" spans="1:7">
      <c r="A30" s="200" t="str">
        <f>'Compte d''exploitation'!G3</f>
        <v/>
      </c>
      <c r="B30" s="203">
        <f>Produits_prestations!D16</f>
        <v>0</v>
      </c>
      <c r="C30" s="203">
        <f>Produits_prestations!E16</f>
        <v>0</v>
      </c>
      <c r="D30" s="204">
        <f>'Compte d''exploitation période'!G4</f>
        <v>0</v>
      </c>
      <c r="E30" s="204">
        <f>'Compte d''exploitation période'!G6</f>
        <v>0</v>
      </c>
      <c r="F30" s="204">
        <f t="shared" si="0"/>
        <v>0</v>
      </c>
      <c r="G30" s="204">
        <f t="shared" si="0"/>
        <v>0</v>
      </c>
    </row>
    <row r="31" spans="1:7">
      <c r="A31" s="200" t="str">
        <f>'Compte d''exploitation'!H3</f>
        <v/>
      </c>
      <c r="B31" s="203">
        <f>Produits_prestations!D17</f>
        <v>0</v>
      </c>
      <c r="C31" s="203">
        <f>Produits_prestations!E17</f>
        <v>0</v>
      </c>
      <c r="D31" s="204">
        <f>'Compte d''exploitation période'!H4</f>
        <v>0</v>
      </c>
      <c r="E31" s="204">
        <f>'Compte d''exploitation période'!H6</f>
        <v>0</v>
      </c>
      <c r="F31" s="204">
        <f t="shared" si="0"/>
        <v>0</v>
      </c>
      <c r="G31" s="204">
        <f t="shared" si="0"/>
        <v>0</v>
      </c>
    </row>
    <row r="32" spans="1:7">
      <c r="A32" s="201" t="s">
        <v>274</v>
      </c>
      <c r="B32" s="205"/>
      <c r="C32" s="206"/>
      <c r="D32" s="205">
        <f>SUM(D27:D31)</f>
        <v>423360</v>
      </c>
      <c r="E32" s="205">
        <f>SUM(E27:E31)</f>
        <v>151200.06047999999</v>
      </c>
      <c r="F32" s="205">
        <f>SUM(F27:F31)</f>
        <v>0</v>
      </c>
      <c r="G32" s="205">
        <f>SUM(G27:G31)</f>
        <v>0</v>
      </c>
    </row>
    <row r="34" spans="1:2">
      <c r="A34" s="129" t="s">
        <v>229</v>
      </c>
      <c r="B34" s="129">
        <f>30*Informations!B27</f>
        <v>360</v>
      </c>
    </row>
  </sheetData>
  <sheetProtection algorithmName="SHA-512" hashValue="HoIY35u+onedrn0aLQjqks6V3wFbYHSk/oXq9++SqtCjhBQmPH/TRLTlYISkBjD3Xz9wUBDU24AI7Ie7mmk+Bg==" saltValue="URSrNWI+5QIqhj6A4yomFQ==" spinCount="100000" sheet="1" objects="1" scenarios="1"/>
  <mergeCells count="5">
    <mergeCell ref="B25:C25"/>
    <mergeCell ref="A1:G1"/>
    <mergeCell ref="A3:G3"/>
    <mergeCell ref="A24:G24"/>
    <mergeCell ref="D25:G25"/>
  </mergeCells>
  <phoneticPr fontId="6" type="noConversion"/>
  <printOptions horizontalCentered="1"/>
  <pageMargins left="0.39370078740157483" right="0.39370078740157483" top="0.39370078740157483" bottom="0.39370078740157483" header="0.51181102362204722" footer="0.39370078740157483"/>
  <pageSetup paperSize="9" orientation="landscape" r:id="rId1"/>
  <headerFooter scaleWithDoc="0">
    <oddFooter>&amp;R14</oddFooter>
  </headerFooter>
  <drawing r:id="rId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C0181-C150-4788-BDCB-2850F1113157}">
  <sheetPr>
    <pageSetUpPr fitToPage="1"/>
  </sheetPr>
  <dimension ref="A1:R58"/>
  <sheetViews>
    <sheetView workbookViewId="0">
      <selection activeCell="T6" sqref="T6"/>
    </sheetView>
  </sheetViews>
  <sheetFormatPr baseColWidth="10" defaultColWidth="11.3828125" defaultRowHeight="12.45"/>
  <cols>
    <col min="1" max="1" width="30.3828125" style="272" customWidth="1"/>
    <col min="2" max="13" width="15.84375" style="272" customWidth="1"/>
    <col min="14" max="14" width="11.3828125" style="272"/>
    <col min="15" max="15" width="14.53515625" style="272" hidden="1" customWidth="1"/>
    <col min="16" max="16" width="15.53515625" style="272" hidden="1" customWidth="1"/>
    <col min="17" max="17" width="0" style="272" hidden="1" customWidth="1"/>
    <col min="18" max="16384" width="11.3828125" style="272"/>
  </cols>
  <sheetData>
    <row r="1" spans="1:18" ht="12.9">
      <c r="A1" s="287" t="s">
        <v>167</v>
      </c>
      <c r="B1" s="287" t="s">
        <v>429</v>
      </c>
      <c r="C1" s="287" t="s">
        <v>430</v>
      </c>
      <c r="D1" s="287" t="s">
        <v>431</v>
      </c>
      <c r="E1" s="287" t="s">
        <v>432</v>
      </c>
      <c r="F1" s="287" t="s">
        <v>433</v>
      </c>
      <c r="G1" s="287" t="s">
        <v>434</v>
      </c>
      <c r="H1" s="287" t="s">
        <v>435</v>
      </c>
      <c r="I1" s="287" t="s">
        <v>436</v>
      </c>
      <c r="J1" s="287" t="s">
        <v>437</v>
      </c>
      <c r="K1" s="287" t="s">
        <v>438</v>
      </c>
      <c r="L1" s="287" t="s">
        <v>439</v>
      </c>
      <c r="M1" s="287" t="s">
        <v>440</v>
      </c>
      <c r="N1" s="288" t="s">
        <v>107</v>
      </c>
      <c r="O1" s="278" t="s">
        <v>441</v>
      </c>
    </row>
    <row r="2" spans="1:18" ht="28.5" customHeight="1">
      <c r="A2" s="289" t="s">
        <v>442</v>
      </c>
      <c r="B2" s="290">
        <v>0</v>
      </c>
      <c r="C2" s="290">
        <v>0</v>
      </c>
      <c r="D2" s="290">
        <v>0</v>
      </c>
      <c r="E2" s="290">
        <v>0</v>
      </c>
      <c r="F2" s="290">
        <v>0</v>
      </c>
      <c r="G2" s="290">
        <v>0</v>
      </c>
      <c r="H2" s="290">
        <v>0</v>
      </c>
      <c r="I2" s="290">
        <v>0</v>
      </c>
      <c r="J2" s="290">
        <v>0</v>
      </c>
      <c r="K2" s="290">
        <v>0</v>
      </c>
      <c r="L2" s="290">
        <v>0</v>
      </c>
      <c r="M2" s="290">
        <v>0</v>
      </c>
      <c r="N2" s="291">
        <f>SUM(B2:M2)</f>
        <v>0</v>
      </c>
      <c r="O2" s="273">
        <v>0</v>
      </c>
      <c r="P2" s="273">
        <f>O2*B35</f>
        <v>0</v>
      </c>
      <c r="Q2" s="279" t="e">
        <f>(P2/N2)-1</f>
        <v>#DIV/0!</v>
      </c>
    </row>
    <row r="3" spans="1:18" ht="28.5" customHeight="1">
      <c r="A3" s="289" t="s">
        <v>443</v>
      </c>
      <c r="B3" s="290">
        <f>$B$51</f>
        <v>38640</v>
      </c>
      <c r="C3" s="290">
        <f t="shared" ref="C3:J3" si="0">$B$51</f>
        <v>38640</v>
      </c>
      <c r="D3" s="290">
        <f t="shared" si="0"/>
        <v>38640</v>
      </c>
      <c r="E3" s="290"/>
      <c r="F3" s="290">
        <f t="shared" si="0"/>
        <v>38640</v>
      </c>
      <c r="G3" s="290">
        <f t="shared" si="0"/>
        <v>38640</v>
      </c>
      <c r="H3" s="290">
        <f t="shared" si="0"/>
        <v>38640</v>
      </c>
      <c r="I3" s="290">
        <f t="shared" si="0"/>
        <v>38640</v>
      </c>
      <c r="J3" s="290">
        <f t="shared" si="0"/>
        <v>38640</v>
      </c>
      <c r="K3" s="290"/>
      <c r="L3" s="290"/>
      <c r="M3" s="290">
        <f t="shared" ref="M3" si="1">$B$51</f>
        <v>38640</v>
      </c>
      <c r="N3" s="291">
        <f t="shared" ref="N3:N4" si="2">SUM(B3:M3)</f>
        <v>347760</v>
      </c>
      <c r="O3" s="280">
        <f>N3/$B$34</f>
        <v>16560</v>
      </c>
    </row>
    <row r="4" spans="1:18" ht="28.5" customHeight="1">
      <c r="A4" s="289" t="s">
        <v>444</v>
      </c>
      <c r="B4" s="290">
        <f>$B$58</f>
        <v>6300</v>
      </c>
      <c r="C4" s="290">
        <f t="shared" ref="C4:M4" si="3">$B$58</f>
        <v>6300</v>
      </c>
      <c r="D4" s="290">
        <f t="shared" si="3"/>
        <v>6300</v>
      </c>
      <c r="E4" s="290">
        <f t="shared" si="3"/>
        <v>6300</v>
      </c>
      <c r="F4" s="290">
        <f t="shared" si="3"/>
        <v>6300</v>
      </c>
      <c r="G4" s="290">
        <f t="shared" si="3"/>
        <v>6300</v>
      </c>
      <c r="H4" s="290">
        <f t="shared" si="3"/>
        <v>6300</v>
      </c>
      <c r="I4" s="290">
        <f t="shared" si="3"/>
        <v>6300</v>
      </c>
      <c r="J4" s="290">
        <f t="shared" si="3"/>
        <v>6300</v>
      </c>
      <c r="K4" s="290">
        <f t="shared" si="3"/>
        <v>6300</v>
      </c>
      <c r="L4" s="290">
        <f t="shared" si="3"/>
        <v>6300</v>
      </c>
      <c r="M4" s="290">
        <f t="shared" si="3"/>
        <v>6300</v>
      </c>
      <c r="N4" s="291">
        <f t="shared" si="2"/>
        <v>75600</v>
      </c>
      <c r="O4" s="280">
        <f>N4/$B$34</f>
        <v>3600</v>
      </c>
      <c r="P4" s="273">
        <f>(O4+O3)*B35</f>
        <v>151200</v>
      </c>
      <c r="Q4" s="281">
        <f>(P4/(N3+N4))-1</f>
        <v>-0.64285714285714279</v>
      </c>
    </row>
    <row r="5" spans="1:18" ht="28.5" customHeight="1">
      <c r="A5" s="289" t="s">
        <v>107</v>
      </c>
      <c r="B5" s="292">
        <f>SUM(B2:B4)</f>
        <v>44940</v>
      </c>
      <c r="C5" s="292">
        <f t="shared" ref="C5:N5" si="4">SUM(C2:C4)</f>
        <v>44940</v>
      </c>
      <c r="D5" s="292">
        <f t="shared" si="4"/>
        <v>44940</v>
      </c>
      <c r="E5" s="292">
        <f t="shared" si="4"/>
        <v>6300</v>
      </c>
      <c r="F5" s="292">
        <f t="shared" si="4"/>
        <v>44940</v>
      </c>
      <c r="G5" s="292">
        <f t="shared" si="4"/>
        <v>44940</v>
      </c>
      <c r="H5" s="292">
        <f t="shared" si="4"/>
        <v>44940</v>
      </c>
      <c r="I5" s="292">
        <f t="shared" si="4"/>
        <v>44940</v>
      </c>
      <c r="J5" s="292">
        <f t="shared" si="4"/>
        <v>44940</v>
      </c>
      <c r="K5" s="292">
        <f t="shared" si="4"/>
        <v>6300</v>
      </c>
      <c r="L5" s="292">
        <f t="shared" si="4"/>
        <v>6300</v>
      </c>
      <c r="M5" s="292">
        <f t="shared" si="4"/>
        <v>44940</v>
      </c>
      <c r="N5" s="291">
        <f t="shared" si="4"/>
        <v>423360</v>
      </c>
      <c r="O5" s="273">
        <f>SUM(O2:O4)</f>
        <v>20160</v>
      </c>
    </row>
    <row r="6" spans="1:18" ht="28.5" customHeight="1">
      <c r="A6" s="289" t="s">
        <v>171</v>
      </c>
      <c r="B6" s="290"/>
      <c r="C6" s="290"/>
      <c r="D6" s="290"/>
      <c r="E6" s="290"/>
      <c r="F6" s="290"/>
      <c r="G6" s="290"/>
      <c r="H6" s="290"/>
      <c r="I6" s="290"/>
      <c r="J6" s="290"/>
      <c r="K6" s="290"/>
      <c r="L6" s="290"/>
      <c r="M6" s="290"/>
      <c r="N6" s="291"/>
    </row>
    <row r="7" spans="1:18" ht="28.5" customHeight="1">
      <c r="A7" s="289" t="s">
        <v>159</v>
      </c>
      <c r="B7" s="290">
        <f>((B3+B4)/$B$34)*-$B$35</f>
        <v>-16050</v>
      </c>
      <c r="C7" s="290">
        <f t="shared" ref="C7:M7" si="5">((C3+C4)/$B$34)*-$B$35</f>
        <v>-16050</v>
      </c>
      <c r="D7" s="290">
        <f t="shared" si="5"/>
        <v>-16050</v>
      </c>
      <c r="E7" s="290">
        <f t="shared" si="5"/>
        <v>-2250</v>
      </c>
      <c r="F7" s="290">
        <f t="shared" si="5"/>
        <v>-16050</v>
      </c>
      <c r="G7" s="290">
        <f t="shared" si="5"/>
        <v>-16050</v>
      </c>
      <c r="H7" s="290">
        <f t="shared" si="5"/>
        <v>-16050</v>
      </c>
      <c r="I7" s="290">
        <f t="shared" si="5"/>
        <v>-16050</v>
      </c>
      <c r="J7" s="290">
        <f t="shared" si="5"/>
        <v>-16050</v>
      </c>
      <c r="K7" s="290">
        <f t="shared" si="5"/>
        <v>-2250</v>
      </c>
      <c r="L7" s="290">
        <f t="shared" si="5"/>
        <v>-2250</v>
      </c>
      <c r="M7" s="290">
        <f t="shared" si="5"/>
        <v>-16050</v>
      </c>
      <c r="N7" s="291">
        <f>SUM(B7:M7)</f>
        <v>-151200</v>
      </c>
    </row>
    <row r="8" spans="1:18" ht="28.5" customHeight="1">
      <c r="A8" s="287" t="s">
        <v>50</v>
      </c>
      <c r="B8" s="292">
        <f>B7+B5</f>
        <v>28890</v>
      </c>
      <c r="C8" s="292">
        <f t="shared" ref="C8:N8" si="6">C7+C5</f>
        <v>28890</v>
      </c>
      <c r="D8" s="292">
        <f t="shared" si="6"/>
        <v>28890</v>
      </c>
      <c r="E8" s="292">
        <f t="shared" si="6"/>
        <v>4050</v>
      </c>
      <c r="F8" s="292">
        <f t="shared" si="6"/>
        <v>28890</v>
      </c>
      <c r="G8" s="292">
        <f t="shared" si="6"/>
        <v>28890</v>
      </c>
      <c r="H8" s="292">
        <f t="shared" si="6"/>
        <v>28890</v>
      </c>
      <c r="I8" s="292">
        <f t="shared" si="6"/>
        <v>28890</v>
      </c>
      <c r="J8" s="292">
        <f t="shared" si="6"/>
        <v>28890</v>
      </c>
      <c r="K8" s="292">
        <f t="shared" si="6"/>
        <v>4050</v>
      </c>
      <c r="L8" s="292">
        <f t="shared" si="6"/>
        <v>4050</v>
      </c>
      <c r="M8" s="292">
        <f t="shared" si="6"/>
        <v>28890</v>
      </c>
      <c r="N8" s="291">
        <f t="shared" si="6"/>
        <v>272160</v>
      </c>
    </row>
    <row r="9" spans="1:18" ht="28.5" customHeight="1">
      <c r="A9" s="293" t="s">
        <v>192</v>
      </c>
      <c r="B9" s="294">
        <f>B8/B5</f>
        <v>0.6428571428571429</v>
      </c>
      <c r="C9" s="294">
        <f t="shared" ref="C9:N9" si="7">C8/C5</f>
        <v>0.6428571428571429</v>
      </c>
      <c r="D9" s="294">
        <f t="shared" si="7"/>
        <v>0.6428571428571429</v>
      </c>
      <c r="E9" s="294">
        <f t="shared" si="7"/>
        <v>0.6428571428571429</v>
      </c>
      <c r="F9" s="294">
        <f t="shared" si="7"/>
        <v>0.6428571428571429</v>
      </c>
      <c r="G9" s="294">
        <f t="shared" si="7"/>
        <v>0.6428571428571429</v>
      </c>
      <c r="H9" s="294">
        <f t="shared" si="7"/>
        <v>0.6428571428571429</v>
      </c>
      <c r="I9" s="294">
        <f t="shared" si="7"/>
        <v>0.6428571428571429</v>
      </c>
      <c r="J9" s="294">
        <f t="shared" si="7"/>
        <v>0.6428571428571429</v>
      </c>
      <c r="K9" s="294">
        <f t="shared" si="7"/>
        <v>0.6428571428571429</v>
      </c>
      <c r="L9" s="294">
        <f t="shared" si="7"/>
        <v>0.6428571428571429</v>
      </c>
      <c r="M9" s="294">
        <f t="shared" si="7"/>
        <v>0.6428571428571429</v>
      </c>
      <c r="N9" s="294">
        <f t="shared" si="7"/>
        <v>0.6428571428571429</v>
      </c>
      <c r="R9" s="272" t="s">
        <v>387</v>
      </c>
    </row>
    <row r="10" spans="1:18" ht="28.5" customHeight="1">
      <c r="A10" s="289"/>
      <c r="B10" s="290"/>
      <c r="C10" s="290"/>
      <c r="D10" s="290"/>
      <c r="E10" s="290"/>
      <c r="F10" s="290"/>
      <c r="G10" s="290"/>
      <c r="H10" s="290"/>
      <c r="I10" s="290"/>
      <c r="J10" s="290"/>
      <c r="K10" s="290"/>
      <c r="L10" s="290"/>
      <c r="M10" s="290"/>
      <c r="N10" s="291"/>
    </row>
    <row r="11" spans="1:18" ht="28.5" customHeight="1">
      <c r="A11" s="287" t="s">
        <v>168</v>
      </c>
      <c r="B11" s="290"/>
      <c r="C11" s="290"/>
      <c r="D11" s="290"/>
      <c r="E11" s="290"/>
      <c r="F11" s="290"/>
      <c r="G11" s="290"/>
      <c r="H11" s="290"/>
      <c r="I11" s="290"/>
      <c r="J11" s="290"/>
      <c r="K11" s="290"/>
      <c r="L11" s="290"/>
      <c r="M11" s="290"/>
      <c r="N11" s="291"/>
    </row>
    <row r="12" spans="1:18" ht="28.5" customHeight="1">
      <c r="A12" s="289" t="s">
        <v>78</v>
      </c>
      <c r="B12" s="290">
        <f t="shared" ref="B12:M12" si="8">-$H$41</f>
        <v>-8850</v>
      </c>
      <c r="C12" s="290">
        <f t="shared" si="8"/>
        <v>-8850</v>
      </c>
      <c r="D12" s="290">
        <f t="shared" si="8"/>
        <v>-8850</v>
      </c>
      <c r="E12" s="290">
        <f t="shared" si="8"/>
        <v>-8850</v>
      </c>
      <c r="F12" s="290">
        <f t="shared" si="8"/>
        <v>-8850</v>
      </c>
      <c r="G12" s="290">
        <f t="shared" si="8"/>
        <v>-8850</v>
      </c>
      <c r="H12" s="290">
        <f t="shared" si="8"/>
        <v>-8850</v>
      </c>
      <c r="I12" s="290">
        <f t="shared" si="8"/>
        <v>-8850</v>
      </c>
      <c r="J12" s="290">
        <f t="shared" si="8"/>
        <v>-8850</v>
      </c>
      <c r="K12" s="290">
        <f t="shared" si="8"/>
        <v>-8850</v>
      </c>
      <c r="L12" s="290">
        <f t="shared" si="8"/>
        <v>-8850</v>
      </c>
      <c r="M12" s="290">
        <f t="shared" si="8"/>
        <v>-8850</v>
      </c>
      <c r="N12" s="291">
        <f>SUM(B12:M12)</f>
        <v>-106200</v>
      </c>
    </row>
    <row r="13" spans="1:18" ht="28.5" customHeight="1">
      <c r="A13" s="289" t="s">
        <v>189</v>
      </c>
      <c r="B13" s="290">
        <f>B12*0.123659</f>
        <v>-1094.3821500000001</v>
      </c>
      <c r="C13" s="290">
        <f t="shared" ref="C13:M13" si="9">C12*0.123659</f>
        <v>-1094.3821500000001</v>
      </c>
      <c r="D13" s="290">
        <f t="shared" si="9"/>
        <v>-1094.3821500000001</v>
      </c>
      <c r="E13" s="290">
        <f t="shared" si="9"/>
        <v>-1094.3821500000001</v>
      </c>
      <c r="F13" s="290">
        <f t="shared" si="9"/>
        <v>-1094.3821500000001</v>
      </c>
      <c r="G13" s="290">
        <f t="shared" si="9"/>
        <v>-1094.3821500000001</v>
      </c>
      <c r="H13" s="290">
        <f t="shared" si="9"/>
        <v>-1094.3821500000001</v>
      </c>
      <c r="I13" s="290">
        <f t="shared" si="9"/>
        <v>-1094.3821500000001</v>
      </c>
      <c r="J13" s="290">
        <f t="shared" si="9"/>
        <v>-1094.3821500000001</v>
      </c>
      <c r="K13" s="290">
        <f t="shared" si="9"/>
        <v>-1094.3821500000001</v>
      </c>
      <c r="L13" s="290">
        <f t="shared" si="9"/>
        <v>-1094.3821500000001</v>
      </c>
      <c r="M13" s="290">
        <f t="shared" si="9"/>
        <v>-1094.3821500000001</v>
      </c>
      <c r="N13" s="291">
        <f t="shared" ref="N13:N30" si="10">SUM(B13:M13)</f>
        <v>-13132.585799999999</v>
      </c>
    </row>
    <row r="14" spans="1:18" ht="28.5" customHeight="1">
      <c r="A14" s="289" t="s">
        <v>160</v>
      </c>
      <c r="B14" s="290">
        <v>-1000</v>
      </c>
      <c r="C14" s="290">
        <v>-1000</v>
      </c>
      <c r="D14" s="290">
        <v>-1000</v>
      </c>
      <c r="E14" s="290">
        <v>-1000</v>
      </c>
      <c r="F14" s="290">
        <v>-1000</v>
      </c>
      <c r="G14" s="290">
        <v>-1000</v>
      </c>
      <c r="H14" s="290">
        <v>-1000</v>
      </c>
      <c r="I14" s="290">
        <v>-1000</v>
      </c>
      <c r="J14" s="290">
        <v>-1000</v>
      </c>
      <c r="K14" s="290">
        <v>-1000</v>
      </c>
      <c r="L14" s="290">
        <v>-1000</v>
      </c>
      <c r="M14" s="290">
        <v>-1000</v>
      </c>
      <c r="N14" s="291">
        <f t="shared" si="10"/>
        <v>-12000</v>
      </c>
      <c r="O14" s="272" t="s">
        <v>477</v>
      </c>
    </row>
    <row r="15" spans="1:18" ht="28.5" customHeight="1">
      <c r="A15" s="289" t="s">
        <v>191</v>
      </c>
      <c r="B15" s="290">
        <f>B14*0.15</f>
        <v>-150</v>
      </c>
      <c r="C15" s="290">
        <f t="shared" ref="C15:M15" si="11">C14*0.15</f>
        <v>-150</v>
      </c>
      <c r="D15" s="290">
        <f t="shared" si="11"/>
        <v>-150</v>
      </c>
      <c r="E15" s="290">
        <f t="shared" si="11"/>
        <v>-150</v>
      </c>
      <c r="F15" s="290">
        <f t="shared" si="11"/>
        <v>-150</v>
      </c>
      <c r="G15" s="290">
        <f t="shared" si="11"/>
        <v>-150</v>
      </c>
      <c r="H15" s="290">
        <f t="shared" si="11"/>
        <v>-150</v>
      </c>
      <c r="I15" s="290">
        <f t="shared" si="11"/>
        <v>-150</v>
      </c>
      <c r="J15" s="290">
        <f t="shared" si="11"/>
        <v>-150</v>
      </c>
      <c r="K15" s="290">
        <f t="shared" si="11"/>
        <v>-150</v>
      </c>
      <c r="L15" s="290">
        <f t="shared" si="11"/>
        <v>-150</v>
      </c>
      <c r="M15" s="290">
        <f t="shared" si="11"/>
        <v>-150</v>
      </c>
      <c r="N15" s="291">
        <f t="shared" si="10"/>
        <v>-1800</v>
      </c>
    </row>
    <row r="16" spans="1:18" ht="28.5" customHeight="1">
      <c r="A16" s="289" t="s">
        <v>51</v>
      </c>
      <c r="B16" s="290">
        <f t="shared" ref="B16:M16" si="12">$I$43</f>
        <v>-600</v>
      </c>
      <c r="C16" s="290">
        <f t="shared" si="12"/>
        <v>-600</v>
      </c>
      <c r="D16" s="290">
        <f t="shared" si="12"/>
        <v>-600</v>
      </c>
      <c r="E16" s="290">
        <f t="shared" si="12"/>
        <v>-600</v>
      </c>
      <c r="F16" s="290">
        <f t="shared" si="12"/>
        <v>-600</v>
      </c>
      <c r="G16" s="290">
        <f t="shared" si="12"/>
        <v>-600</v>
      </c>
      <c r="H16" s="290">
        <f t="shared" si="12"/>
        <v>-600</v>
      </c>
      <c r="I16" s="290">
        <f t="shared" si="12"/>
        <v>-600</v>
      </c>
      <c r="J16" s="290">
        <f t="shared" si="12"/>
        <v>-600</v>
      </c>
      <c r="K16" s="290">
        <f t="shared" si="12"/>
        <v>-600</v>
      </c>
      <c r="L16" s="290">
        <f t="shared" si="12"/>
        <v>-600</v>
      </c>
      <c r="M16" s="290">
        <f t="shared" si="12"/>
        <v>-600</v>
      </c>
      <c r="N16" s="291">
        <f t="shared" si="10"/>
        <v>-7200</v>
      </c>
    </row>
    <row r="17" spans="1:14" ht="28.5" customHeight="1">
      <c r="A17" s="289" t="s">
        <v>298</v>
      </c>
      <c r="B17" s="290">
        <v>-100</v>
      </c>
      <c r="C17" s="290">
        <v>-100</v>
      </c>
      <c r="D17" s="290">
        <v>-100</v>
      </c>
      <c r="E17" s="290">
        <v>-100</v>
      </c>
      <c r="F17" s="290">
        <v>-100</v>
      </c>
      <c r="G17" s="290">
        <v>-100</v>
      </c>
      <c r="H17" s="290">
        <v>-100</v>
      </c>
      <c r="I17" s="290">
        <v>-100</v>
      </c>
      <c r="J17" s="290">
        <v>-100</v>
      </c>
      <c r="K17" s="290">
        <v>-100</v>
      </c>
      <c r="L17" s="290">
        <v>-100</v>
      </c>
      <c r="M17" s="290">
        <v>-100</v>
      </c>
      <c r="N17" s="291">
        <f t="shared" si="10"/>
        <v>-1200</v>
      </c>
    </row>
    <row r="18" spans="1:14" ht="28.5" customHeight="1">
      <c r="A18" s="289" t="s">
        <v>290</v>
      </c>
      <c r="B18" s="290">
        <v>-1775</v>
      </c>
      <c r="C18" s="290">
        <v>-1775</v>
      </c>
      <c r="D18" s="290">
        <v>-1775</v>
      </c>
      <c r="E18" s="290">
        <v>-1775</v>
      </c>
      <c r="F18" s="290">
        <v>-1775</v>
      </c>
      <c r="G18" s="290">
        <v>-1775</v>
      </c>
      <c r="H18" s="290">
        <v>-1775</v>
      </c>
      <c r="I18" s="290">
        <v>-1775</v>
      </c>
      <c r="J18" s="290">
        <v>-1775</v>
      </c>
      <c r="K18" s="290">
        <v>-1775</v>
      </c>
      <c r="L18" s="290">
        <v>-1775</v>
      </c>
      <c r="M18" s="290">
        <v>-1775</v>
      </c>
      <c r="N18" s="291">
        <f t="shared" si="10"/>
        <v>-21300</v>
      </c>
    </row>
    <row r="19" spans="1:14" ht="28.5" customHeight="1">
      <c r="A19" s="289" t="s">
        <v>199</v>
      </c>
      <c r="B19" s="290">
        <v>-233.333</v>
      </c>
      <c r="C19" s="290">
        <v>-233.333</v>
      </c>
      <c r="D19" s="290">
        <v>-233.333</v>
      </c>
      <c r="E19" s="290">
        <v>-233.333</v>
      </c>
      <c r="F19" s="290">
        <v>-233.333</v>
      </c>
      <c r="G19" s="290">
        <v>-233.333</v>
      </c>
      <c r="H19" s="290">
        <v>-233.333</v>
      </c>
      <c r="I19" s="290">
        <v>-233.333</v>
      </c>
      <c r="J19" s="290">
        <v>-233.333</v>
      </c>
      <c r="K19" s="290">
        <v>-233.333</v>
      </c>
      <c r="L19" s="290">
        <v>-233.333</v>
      </c>
      <c r="M19" s="290">
        <v>-233.333</v>
      </c>
      <c r="N19" s="291">
        <f t="shared" si="10"/>
        <v>-2799.9960000000005</v>
      </c>
    </row>
    <row r="20" spans="1:14" ht="28.5" customHeight="1">
      <c r="A20" s="289" t="s">
        <v>445</v>
      </c>
      <c r="B20" s="290">
        <f>'[1]Mensuel base 22'!B20/2</f>
        <v>-1600</v>
      </c>
      <c r="C20" s="290">
        <f>'[1]Mensuel base 22'!C20/2</f>
        <v>-1600</v>
      </c>
      <c r="D20" s="290">
        <f>'[1]Mensuel base 22'!D20/2</f>
        <v>-1600</v>
      </c>
      <c r="E20" s="290">
        <f>'[1]Mensuel base 22'!E20/2</f>
        <v>0</v>
      </c>
      <c r="F20" s="290">
        <f>'[1]Mensuel base 22'!F20/2</f>
        <v>-1600</v>
      </c>
      <c r="G20" s="290">
        <f>'[1]Mensuel base 22'!G20/2</f>
        <v>-1600</v>
      </c>
      <c r="H20" s="290">
        <f>'[1]Mensuel base 22'!H20/2</f>
        <v>-1600</v>
      </c>
      <c r="I20" s="290">
        <f>'[1]Mensuel base 22'!I20/2</f>
        <v>-1600</v>
      </c>
      <c r="J20" s="290">
        <f>'[1]Mensuel base 22'!J20/2</f>
        <v>-1600</v>
      </c>
      <c r="K20" s="290">
        <f>'[1]Mensuel base 22'!K20/2</f>
        <v>0</v>
      </c>
      <c r="L20" s="290">
        <f>'[1]Mensuel base 22'!L20/2</f>
        <v>0</v>
      </c>
      <c r="M20" s="290">
        <f>'[1]Mensuel base 22'!M20/2</f>
        <v>-1600</v>
      </c>
      <c r="N20" s="291">
        <f t="shared" si="10"/>
        <v>-14400</v>
      </c>
    </row>
    <row r="21" spans="1:14" ht="28.5" customHeight="1">
      <c r="A21" s="289" t="s">
        <v>446</v>
      </c>
      <c r="B21" s="290">
        <v>-85</v>
      </c>
      <c r="C21" s="290">
        <v>-85</v>
      </c>
      <c r="D21" s="290">
        <v>-85</v>
      </c>
      <c r="E21" s="290">
        <v>-85</v>
      </c>
      <c r="F21" s="290">
        <v>-85</v>
      </c>
      <c r="G21" s="290">
        <v>-85</v>
      </c>
      <c r="H21" s="290">
        <v>-85</v>
      </c>
      <c r="I21" s="290">
        <v>-85</v>
      </c>
      <c r="J21" s="290">
        <v>-85</v>
      </c>
      <c r="K21" s="290">
        <v>-85</v>
      </c>
      <c r="L21" s="290">
        <v>-85</v>
      </c>
      <c r="M21" s="290">
        <v>-85</v>
      </c>
      <c r="N21" s="291">
        <f t="shared" si="10"/>
        <v>-1020</v>
      </c>
    </row>
    <row r="22" spans="1:14" ht="28.5" customHeight="1">
      <c r="A22" s="289" t="s">
        <v>174</v>
      </c>
      <c r="B22" s="290">
        <f>-250</f>
        <v>-250</v>
      </c>
      <c r="C22" s="290">
        <f t="shared" ref="C22:M22" si="13">-250</f>
        <v>-250</v>
      </c>
      <c r="D22" s="290">
        <f t="shared" si="13"/>
        <v>-250</v>
      </c>
      <c r="E22" s="290">
        <f t="shared" si="13"/>
        <v>-250</v>
      </c>
      <c r="F22" s="290">
        <f t="shared" si="13"/>
        <v>-250</v>
      </c>
      <c r="G22" s="290">
        <f t="shared" si="13"/>
        <v>-250</v>
      </c>
      <c r="H22" s="290">
        <f t="shared" si="13"/>
        <v>-250</v>
      </c>
      <c r="I22" s="290">
        <f t="shared" si="13"/>
        <v>-250</v>
      </c>
      <c r="J22" s="290">
        <f t="shared" si="13"/>
        <v>-250</v>
      </c>
      <c r="K22" s="290">
        <f t="shared" si="13"/>
        <v>-250</v>
      </c>
      <c r="L22" s="290">
        <f t="shared" si="13"/>
        <v>-250</v>
      </c>
      <c r="M22" s="290">
        <f t="shared" si="13"/>
        <v>-250</v>
      </c>
      <c r="N22" s="291">
        <f t="shared" si="10"/>
        <v>-3000</v>
      </c>
    </row>
    <row r="23" spans="1:14" ht="28.5" customHeight="1">
      <c r="A23" s="289" t="s">
        <v>73</v>
      </c>
      <c r="B23" s="290">
        <v>-100</v>
      </c>
      <c r="C23" s="290">
        <v>-100</v>
      </c>
      <c r="D23" s="290">
        <v>-100</v>
      </c>
      <c r="E23" s="290">
        <v>-100</v>
      </c>
      <c r="F23" s="290">
        <v>-100</v>
      </c>
      <c r="G23" s="290">
        <v>-100</v>
      </c>
      <c r="H23" s="290">
        <v>-100</v>
      </c>
      <c r="I23" s="290">
        <v>-100</v>
      </c>
      <c r="J23" s="290">
        <v>-100</v>
      </c>
      <c r="K23" s="290">
        <v>-100</v>
      </c>
      <c r="L23" s="290">
        <v>-100</v>
      </c>
      <c r="M23" s="290">
        <v>-100</v>
      </c>
      <c r="N23" s="291">
        <f t="shared" si="10"/>
        <v>-1200</v>
      </c>
    </row>
    <row r="24" spans="1:14" ht="28.5" customHeight="1">
      <c r="A24" s="289" t="s">
        <v>74</v>
      </c>
      <c r="B24" s="290">
        <v>-100</v>
      </c>
      <c r="C24" s="290">
        <v>-100</v>
      </c>
      <c r="D24" s="290">
        <v>-100</v>
      </c>
      <c r="E24" s="290">
        <v>-100</v>
      </c>
      <c r="F24" s="290">
        <v>-100</v>
      </c>
      <c r="G24" s="290">
        <v>-100</v>
      </c>
      <c r="H24" s="290">
        <v>-100</v>
      </c>
      <c r="I24" s="290">
        <v>-100</v>
      </c>
      <c r="J24" s="290">
        <v>-100</v>
      </c>
      <c r="K24" s="290">
        <v>-100</v>
      </c>
      <c r="L24" s="290">
        <v>-100</v>
      </c>
      <c r="M24" s="290">
        <v>-100</v>
      </c>
      <c r="N24" s="291">
        <f t="shared" si="10"/>
        <v>-1200</v>
      </c>
    </row>
    <row r="25" spans="1:14" ht="28.5" customHeight="1">
      <c r="A25" s="289" t="s">
        <v>175</v>
      </c>
      <c r="B25" s="290">
        <f>-2000/12</f>
        <v>-166.66666666666666</v>
      </c>
      <c r="C25" s="290">
        <f t="shared" ref="C25:M25" si="14">-2000/12</f>
        <v>-166.66666666666666</v>
      </c>
      <c r="D25" s="290">
        <f t="shared" si="14"/>
        <v>-166.66666666666666</v>
      </c>
      <c r="E25" s="290">
        <f t="shared" si="14"/>
        <v>-166.66666666666666</v>
      </c>
      <c r="F25" s="290">
        <f t="shared" si="14"/>
        <v>-166.66666666666666</v>
      </c>
      <c r="G25" s="290">
        <f t="shared" si="14"/>
        <v>-166.66666666666666</v>
      </c>
      <c r="H25" s="290">
        <f t="shared" si="14"/>
        <v>-166.66666666666666</v>
      </c>
      <c r="I25" s="290">
        <f t="shared" si="14"/>
        <v>-166.66666666666666</v>
      </c>
      <c r="J25" s="290">
        <f t="shared" si="14"/>
        <v>-166.66666666666666</v>
      </c>
      <c r="K25" s="290">
        <f t="shared" si="14"/>
        <v>-166.66666666666666</v>
      </c>
      <c r="L25" s="290">
        <f t="shared" si="14"/>
        <v>-166.66666666666666</v>
      </c>
      <c r="M25" s="290">
        <f t="shared" si="14"/>
        <v>-166.66666666666666</v>
      </c>
      <c r="N25" s="291">
        <f t="shared" si="10"/>
        <v>-2000.0000000000002</v>
      </c>
    </row>
    <row r="26" spans="1:14" ht="28.5" customHeight="1">
      <c r="A26" s="289" t="s">
        <v>217</v>
      </c>
      <c r="B26" s="290">
        <f>-3000/12</f>
        <v>-250</v>
      </c>
      <c r="C26" s="290">
        <f t="shared" ref="C26:M26" si="15">-3000/12</f>
        <v>-250</v>
      </c>
      <c r="D26" s="290">
        <f t="shared" si="15"/>
        <v>-250</v>
      </c>
      <c r="E26" s="290">
        <f t="shared" si="15"/>
        <v>-250</v>
      </c>
      <c r="F26" s="290">
        <f t="shared" si="15"/>
        <v>-250</v>
      </c>
      <c r="G26" s="290">
        <f t="shared" si="15"/>
        <v>-250</v>
      </c>
      <c r="H26" s="290">
        <f t="shared" si="15"/>
        <v>-250</v>
      </c>
      <c r="I26" s="290">
        <f t="shared" si="15"/>
        <v>-250</v>
      </c>
      <c r="J26" s="290">
        <f t="shared" si="15"/>
        <v>-250</v>
      </c>
      <c r="K26" s="290">
        <f t="shared" si="15"/>
        <v>-250</v>
      </c>
      <c r="L26" s="290">
        <f t="shared" si="15"/>
        <v>-250</v>
      </c>
      <c r="M26" s="290">
        <f t="shared" si="15"/>
        <v>-250</v>
      </c>
      <c r="N26" s="291">
        <f t="shared" si="10"/>
        <v>-3000</v>
      </c>
    </row>
    <row r="27" spans="1:14" ht="28.5" customHeight="1">
      <c r="A27" s="289" t="s">
        <v>176</v>
      </c>
      <c r="B27" s="290">
        <f>-2800/12</f>
        <v>-233.33333333333334</v>
      </c>
      <c r="C27" s="290">
        <f t="shared" ref="C27:M27" si="16">-2800/12</f>
        <v>-233.33333333333334</v>
      </c>
      <c r="D27" s="290">
        <f t="shared" si="16"/>
        <v>-233.33333333333334</v>
      </c>
      <c r="E27" s="290">
        <f t="shared" si="16"/>
        <v>-233.33333333333334</v>
      </c>
      <c r="F27" s="290">
        <f t="shared" si="16"/>
        <v>-233.33333333333334</v>
      </c>
      <c r="G27" s="290">
        <f t="shared" si="16"/>
        <v>-233.33333333333334</v>
      </c>
      <c r="H27" s="290">
        <f t="shared" si="16"/>
        <v>-233.33333333333334</v>
      </c>
      <c r="I27" s="290">
        <f t="shared" si="16"/>
        <v>-233.33333333333334</v>
      </c>
      <c r="J27" s="290">
        <f t="shared" si="16"/>
        <v>-233.33333333333334</v>
      </c>
      <c r="K27" s="290">
        <f t="shared" si="16"/>
        <v>-233.33333333333334</v>
      </c>
      <c r="L27" s="290">
        <f t="shared" si="16"/>
        <v>-233.33333333333334</v>
      </c>
      <c r="M27" s="290">
        <f t="shared" si="16"/>
        <v>-233.33333333333334</v>
      </c>
      <c r="N27" s="291">
        <f t="shared" si="10"/>
        <v>-2800.0000000000005</v>
      </c>
    </row>
    <row r="28" spans="1:14" ht="28.5" customHeight="1">
      <c r="A28" s="289" t="s">
        <v>110</v>
      </c>
      <c r="B28" s="290">
        <f>-27167/12</f>
        <v>-2263.9166666666665</v>
      </c>
      <c r="C28" s="290">
        <f t="shared" ref="C28:M28" si="17">-27167/12</f>
        <v>-2263.9166666666665</v>
      </c>
      <c r="D28" s="290">
        <f t="shared" si="17"/>
        <v>-2263.9166666666665</v>
      </c>
      <c r="E28" s="290">
        <f t="shared" si="17"/>
        <v>-2263.9166666666665</v>
      </c>
      <c r="F28" s="290">
        <f t="shared" si="17"/>
        <v>-2263.9166666666665</v>
      </c>
      <c r="G28" s="290">
        <f t="shared" si="17"/>
        <v>-2263.9166666666665</v>
      </c>
      <c r="H28" s="290">
        <f t="shared" si="17"/>
        <v>-2263.9166666666665</v>
      </c>
      <c r="I28" s="290">
        <f t="shared" si="17"/>
        <v>-2263.9166666666665</v>
      </c>
      <c r="J28" s="290">
        <f t="shared" si="17"/>
        <v>-2263.9166666666665</v>
      </c>
      <c r="K28" s="290">
        <f t="shared" si="17"/>
        <v>-2263.9166666666665</v>
      </c>
      <c r="L28" s="290">
        <f t="shared" si="17"/>
        <v>-2263.9166666666665</v>
      </c>
      <c r="M28" s="290">
        <f t="shared" si="17"/>
        <v>-2263.9166666666665</v>
      </c>
      <c r="N28" s="291">
        <f t="shared" si="10"/>
        <v>-27167.000000000004</v>
      </c>
    </row>
    <row r="29" spans="1:14" ht="28.5" customHeight="1">
      <c r="A29" s="287" t="s">
        <v>72</v>
      </c>
      <c r="B29" s="290">
        <f>SUM(B12:B28)</f>
        <v>-18851.631816666668</v>
      </c>
      <c r="C29" s="290">
        <f t="shared" ref="C29:M29" si="18">SUM(C12:C28)</f>
        <v>-18851.631816666668</v>
      </c>
      <c r="D29" s="290">
        <f t="shared" si="18"/>
        <v>-18851.631816666668</v>
      </c>
      <c r="E29" s="290">
        <f t="shared" si="18"/>
        <v>-17251.631816666668</v>
      </c>
      <c r="F29" s="290">
        <f t="shared" si="18"/>
        <v>-18851.631816666668</v>
      </c>
      <c r="G29" s="290">
        <f t="shared" si="18"/>
        <v>-18851.631816666668</v>
      </c>
      <c r="H29" s="290">
        <f t="shared" si="18"/>
        <v>-18851.631816666668</v>
      </c>
      <c r="I29" s="290">
        <f t="shared" si="18"/>
        <v>-18851.631816666668</v>
      </c>
      <c r="J29" s="290">
        <f t="shared" si="18"/>
        <v>-18851.631816666668</v>
      </c>
      <c r="K29" s="290">
        <f t="shared" si="18"/>
        <v>-17251.631816666668</v>
      </c>
      <c r="L29" s="290">
        <f t="shared" si="18"/>
        <v>-17251.631816666668</v>
      </c>
      <c r="M29" s="290">
        <f t="shared" si="18"/>
        <v>-18851.631816666668</v>
      </c>
      <c r="N29" s="291">
        <f t="shared" si="10"/>
        <v>-221419.58179999996</v>
      </c>
    </row>
    <row r="30" spans="1:14" ht="28.5" customHeight="1">
      <c r="A30" s="293" t="s">
        <v>177</v>
      </c>
      <c r="B30" s="292">
        <f>B29+B8</f>
        <v>10038.368183333332</v>
      </c>
      <c r="C30" s="292">
        <f t="shared" ref="C30:M30" si="19">C29+C8</f>
        <v>10038.368183333332</v>
      </c>
      <c r="D30" s="292">
        <f t="shared" si="19"/>
        <v>10038.368183333332</v>
      </c>
      <c r="E30" s="292">
        <f t="shared" si="19"/>
        <v>-13201.631816666668</v>
      </c>
      <c r="F30" s="292">
        <f t="shared" si="19"/>
        <v>10038.368183333332</v>
      </c>
      <c r="G30" s="292">
        <f t="shared" si="19"/>
        <v>10038.368183333332</v>
      </c>
      <c r="H30" s="292">
        <f t="shared" si="19"/>
        <v>10038.368183333332</v>
      </c>
      <c r="I30" s="292">
        <f t="shared" si="19"/>
        <v>10038.368183333332</v>
      </c>
      <c r="J30" s="292">
        <f t="shared" si="19"/>
        <v>10038.368183333332</v>
      </c>
      <c r="K30" s="292">
        <f t="shared" si="19"/>
        <v>-13201.631816666668</v>
      </c>
      <c r="L30" s="292">
        <f t="shared" si="19"/>
        <v>-13201.631816666668</v>
      </c>
      <c r="M30" s="292">
        <f t="shared" si="19"/>
        <v>10038.368183333332</v>
      </c>
      <c r="N30" s="291">
        <f t="shared" si="10"/>
        <v>50740.418199999993</v>
      </c>
    </row>
    <row r="33" spans="1:10">
      <c r="A33" s="272" t="s">
        <v>447</v>
      </c>
      <c r="B33" s="272" t="s">
        <v>448</v>
      </c>
      <c r="G33" s="274" t="s">
        <v>476</v>
      </c>
    </row>
    <row r="34" spans="1:10">
      <c r="A34" s="272" t="s">
        <v>449</v>
      </c>
      <c r="B34" s="272">
        <v>21</v>
      </c>
      <c r="C34" s="272" t="s">
        <v>478</v>
      </c>
      <c r="G34" s="272" t="s">
        <v>450</v>
      </c>
      <c r="H34" s="282">
        <v>750</v>
      </c>
      <c r="I34" s="283" t="s">
        <v>479</v>
      </c>
    </row>
    <row r="35" spans="1:10">
      <c r="A35" s="272" t="s">
        <v>451</v>
      </c>
      <c r="B35" s="272">
        <v>7.5</v>
      </c>
      <c r="C35" s="272" t="s">
        <v>387</v>
      </c>
      <c r="G35" s="272" t="s">
        <v>428</v>
      </c>
      <c r="H35" s="282">
        <v>400</v>
      </c>
    </row>
    <row r="36" spans="1:10">
      <c r="A36" s="272" t="s">
        <v>452</v>
      </c>
      <c r="B36" s="274">
        <f>B34-B35</f>
        <v>13.5</v>
      </c>
      <c r="G36" s="272" t="s">
        <v>453</v>
      </c>
      <c r="H36" s="284">
        <v>0</v>
      </c>
      <c r="I36" s="283" t="s">
        <v>480</v>
      </c>
    </row>
    <row r="37" spans="1:10">
      <c r="B37" s="274"/>
      <c r="G37" s="272" t="s">
        <v>454</v>
      </c>
      <c r="H37" s="282">
        <v>750</v>
      </c>
    </row>
    <row r="38" spans="1:10">
      <c r="A38" s="274" t="s">
        <v>442</v>
      </c>
      <c r="B38" s="275" t="s">
        <v>481</v>
      </c>
      <c r="G38" s="272" t="s">
        <v>455</v>
      </c>
      <c r="H38" s="282">
        <v>500</v>
      </c>
    </row>
    <row r="39" spans="1:10">
      <c r="A39" s="274"/>
      <c r="G39" s="272" t="s">
        <v>456</v>
      </c>
      <c r="H39" s="282">
        <v>2500</v>
      </c>
    </row>
    <row r="40" spans="1:10">
      <c r="G40" s="272" t="s">
        <v>457</v>
      </c>
      <c r="H40" s="282">
        <v>2000</v>
      </c>
    </row>
    <row r="41" spans="1:10">
      <c r="G41" s="272" t="s">
        <v>107</v>
      </c>
      <c r="H41" s="276">
        <v>8850</v>
      </c>
    </row>
    <row r="43" spans="1:10">
      <c r="B43" s="285"/>
      <c r="G43" s="274" t="s">
        <v>458</v>
      </c>
      <c r="I43" s="272">
        <v>-600</v>
      </c>
    </row>
    <row r="45" spans="1:10">
      <c r="A45" s="274" t="s">
        <v>459</v>
      </c>
    </row>
    <row r="46" spans="1:10">
      <c r="A46" s="274" t="s">
        <v>460</v>
      </c>
      <c r="G46" s="274" t="s">
        <v>428</v>
      </c>
      <c r="H46" s="274" t="s">
        <v>461</v>
      </c>
    </row>
    <row r="47" spans="1:10">
      <c r="A47" s="272" t="s">
        <v>462</v>
      </c>
      <c r="G47" s="272" t="s">
        <v>367</v>
      </c>
      <c r="H47" s="272">
        <v>100</v>
      </c>
      <c r="I47" s="272">
        <v>1200</v>
      </c>
      <c r="J47" s="272" t="s">
        <v>463</v>
      </c>
    </row>
    <row r="48" spans="1:10">
      <c r="A48" s="272" t="s">
        <v>464</v>
      </c>
      <c r="B48" s="272">
        <f>8</f>
        <v>8</v>
      </c>
      <c r="C48" s="272" t="s">
        <v>465</v>
      </c>
      <c r="G48" s="272" t="s">
        <v>195</v>
      </c>
      <c r="H48" s="272">
        <v>200</v>
      </c>
    </row>
    <row r="49" spans="1:10">
      <c r="A49" s="272" t="s">
        <v>466</v>
      </c>
      <c r="B49" s="272">
        <v>230</v>
      </c>
      <c r="C49" s="272" t="s">
        <v>467</v>
      </c>
      <c r="G49" s="272" t="s">
        <v>468</v>
      </c>
      <c r="H49" s="272">
        <f>I49/12</f>
        <v>250</v>
      </c>
      <c r="I49" s="272">
        <v>3000</v>
      </c>
    </row>
    <row r="50" spans="1:10">
      <c r="A50" s="272" t="s">
        <v>387</v>
      </c>
      <c r="G50" s="274" t="s">
        <v>107</v>
      </c>
      <c r="H50" s="274">
        <f>SUM(H47:H49)</f>
        <v>550</v>
      </c>
    </row>
    <row r="51" spans="1:10">
      <c r="A51" s="272" t="s">
        <v>469</v>
      </c>
      <c r="B51" s="285">
        <f>B49*B34*B48</f>
        <v>38640</v>
      </c>
    </row>
    <row r="52" spans="1:10">
      <c r="G52" s="272" t="s">
        <v>470</v>
      </c>
      <c r="I52" s="286">
        <v>200</v>
      </c>
      <c r="J52" s="272" t="s">
        <v>471</v>
      </c>
    </row>
    <row r="53" spans="1:10">
      <c r="A53" s="274" t="s">
        <v>472</v>
      </c>
      <c r="I53" s="272" t="s">
        <v>482</v>
      </c>
    </row>
    <row r="54" spans="1:10">
      <c r="A54" s="274" t="s">
        <v>473</v>
      </c>
    </row>
    <row r="55" spans="1:10">
      <c r="A55" s="272" t="s">
        <v>474</v>
      </c>
      <c r="H55" s="285"/>
    </row>
    <row r="56" spans="1:10">
      <c r="A56" s="286" t="s">
        <v>483</v>
      </c>
      <c r="B56" s="272">
        <v>12</v>
      </c>
      <c r="C56" s="272" t="s">
        <v>475</v>
      </c>
      <c r="H56" s="285"/>
    </row>
    <row r="57" spans="1:10">
      <c r="A57" s="272" t="s">
        <v>466</v>
      </c>
      <c r="B57" s="272">
        <v>25</v>
      </c>
      <c r="C57" s="272" t="s">
        <v>467</v>
      </c>
      <c r="H57" s="277"/>
    </row>
    <row r="58" spans="1:10">
      <c r="A58" s="272" t="s">
        <v>469</v>
      </c>
      <c r="B58" s="272">
        <f>B34*B57*B56</f>
        <v>6300</v>
      </c>
      <c r="I58" s="285"/>
    </row>
  </sheetData>
  <pageMargins left="0.7" right="0.7" top="0.75" bottom="0.75" header="0.3" footer="0.3"/>
  <pageSetup paperSize="9" scale="57"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1"/>
  </sheetPr>
  <dimension ref="A1:K127"/>
  <sheetViews>
    <sheetView workbookViewId="0">
      <selection activeCell="M20" sqref="M20"/>
    </sheetView>
  </sheetViews>
  <sheetFormatPr baseColWidth="10" defaultRowHeight="12.9"/>
  <cols>
    <col min="1" max="1" width="23.69140625" style="219" customWidth="1"/>
    <col min="2" max="2" width="2.69140625" style="219" customWidth="1"/>
    <col min="3" max="3" width="15.69140625" style="219" customWidth="1"/>
    <col min="4" max="4" width="2.69140625" style="219" customWidth="1"/>
    <col min="5" max="5" width="15.69140625" style="219" customWidth="1"/>
    <col min="6" max="6" width="2.69140625" style="219" customWidth="1"/>
    <col min="7" max="7" width="15.69140625" style="219" customWidth="1"/>
    <col min="8" max="8" width="2.69140625" style="219" customWidth="1"/>
    <col min="9" max="9" width="47" style="219" customWidth="1"/>
    <col min="10" max="256" width="11.3828125" style="219"/>
    <col min="257" max="257" width="23.69140625" style="219" customWidth="1"/>
    <col min="258" max="258" width="2.69140625" style="219" customWidth="1"/>
    <col min="259" max="259" width="15.69140625" style="219" customWidth="1"/>
    <col min="260" max="260" width="2.69140625" style="219" customWidth="1"/>
    <col min="261" max="261" width="15.69140625" style="219" customWidth="1"/>
    <col min="262" max="262" width="2.69140625" style="219" customWidth="1"/>
    <col min="263" max="263" width="15.69140625" style="219" customWidth="1"/>
    <col min="264" max="264" width="2.69140625" style="219" customWidth="1"/>
    <col min="265" max="265" width="47" style="219" customWidth="1"/>
    <col min="266" max="512" width="11.3828125" style="219"/>
    <col min="513" max="513" width="23.69140625" style="219" customWidth="1"/>
    <col min="514" max="514" width="2.69140625" style="219" customWidth="1"/>
    <col min="515" max="515" width="15.69140625" style="219" customWidth="1"/>
    <col min="516" max="516" width="2.69140625" style="219" customWidth="1"/>
    <col min="517" max="517" width="15.69140625" style="219" customWidth="1"/>
    <col min="518" max="518" width="2.69140625" style="219" customWidth="1"/>
    <col min="519" max="519" width="15.69140625" style="219" customWidth="1"/>
    <col min="520" max="520" width="2.69140625" style="219" customWidth="1"/>
    <col min="521" max="521" width="47" style="219" customWidth="1"/>
    <col min="522" max="768" width="11.3828125" style="219"/>
    <col min="769" max="769" width="23.69140625" style="219" customWidth="1"/>
    <col min="770" max="770" width="2.69140625" style="219" customWidth="1"/>
    <col min="771" max="771" width="15.69140625" style="219" customWidth="1"/>
    <col min="772" max="772" width="2.69140625" style="219" customWidth="1"/>
    <col min="773" max="773" width="15.69140625" style="219" customWidth="1"/>
    <col min="774" max="774" width="2.69140625" style="219" customWidth="1"/>
    <col min="775" max="775" width="15.69140625" style="219" customWidth="1"/>
    <col min="776" max="776" width="2.69140625" style="219" customWidth="1"/>
    <col min="777" max="777" width="47" style="219" customWidth="1"/>
    <col min="778" max="1024" width="11.3828125" style="219"/>
    <col min="1025" max="1025" width="23.69140625" style="219" customWidth="1"/>
    <col min="1026" max="1026" width="2.69140625" style="219" customWidth="1"/>
    <col min="1027" max="1027" width="15.69140625" style="219" customWidth="1"/>
    <col min="1028" max="1028" width="2.69140625" style="219" customWidth="1"/>
    <col min="1029" max="1029" width="15.69140625" style="219" customWidth="1"/>
    <col min="1030" max="1030" width="2.69140625" style="219" customWidth="1"/>
    <col min="1031" max="1031" width="15.69140625" style="219" customWidth="1"/>
    <col min="1032" max="1032" width="2.69140625" style="219" customWidth="1"/>
    <col min="1033" max="1033" width="47" style="219" customWidth="1"/>
    <col min="1034" max="1280" width="11.3828125" style="219"/>
    <col min="1281" max="1281" width="23.69140625" style="219" customWidth="1"/>
    <col min="1282" max="1282" width="2.69140625" style="219" customWidth="1"/>
    <col min="1283" max="1283" width="15.69140625" style="219" customWidth="1"/>
    <col min="1284" max="1284" width="2.69140625" style="219" customWidth="1"/>
    <col min="1285" max="1285" width="15.69140625" style="219" customWidth="1"/>
    <col min="1286" max="1286" width="2.69140625" style="219" customWidth="1"/>
    <col min="1287" max="1287" width="15.69140625" style="219" customWidth="1"/>
    <col min="1288" max="1288" width="2.69140625" style="219" customWidth="1"/>
    <col min="1289" max="1289" width="47" style="219" customWidth="1"/>
    <col min="1290" max="1536" width="11.3828125" style="219"/>
    <col min="1537" max="1537" width="23.69140625" style="219" customWidth="1"/>
    <col min="1538" max="1538" width="2.69140625" style="219" customWidth="1"/>
    <col min="1539" max="1539" width="15.69140625" style="219" customWidth="1"/>
    <col min="1540" max="1540" width="2.69140625" style="219" customWidth="1"/>
    <col min="1541" max="1541" width="15.69140625" style="219" customWidth="1"/>
    <col min="1542" max="1542" width="2.69140625" style="219" customWidth="1"/>
    <col min="1543" max="1543" width="15.69140625" style="219" customWidth="1"/>
    <col min="1544" max="1544" width="2.69140625" style="219" customWidth="1"/>
    <col min="1545" max="1545" width="47" style="219" customWidth="1"/>
    <col min="1546" max="1792" width="11.3828125" style="219"/>
    <col min="1793" max="1793" width="23.69140625" style="219" customWidth="1"/>
    <col min="1794" max="1794" width="2.69140625" style="219" customWidth="1"/>
    <col min="1795" max="1795" width="15.69140625" style="219" customWidth="1"/>
    <col min="1796" max="1796" width="2.69140625" style="219" customWidth="1"/>
    <col min="1797" max="1797" width="15.69140625" style="219" customWidth="1"/>
    <col min="1798" max="1798" width="2.69140625" style="219" customWidth="1"/>
    <col min="1799" max="1799" width="15.69140625" style="219" customWidth="1"/>
    <col min="1800" max="1800" width="2.69140625" style="219" customWidth="1"/>
    <col min="1801" max="1801" width="47" style="219" customWidth="1"/>
    <col min="1802" max="2048" width="11.3828125" style="219"/>
    <col min="2049" max="2049" width="23.69140625" style="219" customWidth="1"/>
    <col min="2050" max="2050" width="2.69140625" style="219" customWidth="1"/>
    <col min="2051" max="2051" width="15.69140625" style="219" customWidth="1"/>
    <col min="2052" max="2052" width="2.69140625" style="219" customWidth="1"/>
    <col min="2053" max="2053" width="15.69140625" style="219" customWidth="1"/>
    <col min="2054" max="2054" width="2.69140625" style="219" customWidth="1"/>
    <col min="2055" max="2055" width="15.69140625" style="219" customWidth="1"/>
    <col min="2056" max="2056" width="2.69140625" style="219" customWidth="1"/>
    <col min="2057" max="2057" width="47" style="219" customWidth="1"/>
    <col min="2058" max="2304" width="11.3828125" style="219"/>
    <col min="2305" max="2305" width="23.69140625" style="219" customWidth="1"/>
    <col min="2306" max="2306" width="2.69140625" style="219" customWidth="1"/>
    <col min="2307" max="2307" width="15.69140625" style="219" customWidth="1"/>
    <col min="2308" max="2308" width="2.69140625" style="219" customWidth="1"/>
    <col min="2309" max="2309" width="15.69140625" style="219" customWidth="1"/>
    <col min="2310" max="2310" width="2.69140625" style="219" customWidth="1"/>
    <col min="2311" max="2311" width="15.69140625" style="219" customWidth="1"/>
    <col min="2312" max="2312" width="2.69140625" style="219" customWidth="1"/>
    <col min="2313" max="2313" width="47" style="219" customWidth="1"/>
    <col min="2314" max="2560" width="11.3828125" style="219"/>
    <col min="2561" max="2561" width="23.69140625" style="219" customWidth="1"/>
    <col min="2562" max="2562" width="2.69140625" style="219" customWidth="1"/>
    <col min="2563" max="2563" width="15.69140625" style="219" customWidth="1"/>
    <col min="2564" max="2564" width="2.69140625" style="219" customWidth="1"/>
    <col min="2565" max="2565" width="15.69140625" style="219" customWidth="1"/>
    <col min="2566" max="2566" width="2.69140625" style="219" customWidth="1"/>
    <col min="2567" max="2567" width="15.69140625" style="219" customWidth="1"/>
    <col min="2568" max="2568" width="2.69140625" style="219" customWidth="1"/>
    <col min="2569" max="2569" width="47" style="219" customWidth="1"/>
    <col min="2570" max="2816" width="11.3828125" style="219"/>
    <col min="2817" max="2817" width="23.69140625" style="219" customWidth="1"/>
    <col min="2818" max="2818" width="2.69140625" style="219" customWidth="1"/>
    <col min="2819" max="2819" width="15.69140625" style="219" customWidth="1"/>
    <col min="2820" max="2820" width="2.69140625" style="219" customWidth="1"/>
    <col min="2821" max="2821" width="15.69140625" style="219" customWidth="1"/>
    <col min="2822" max="2822" width="2.69140625" style="219" customWidth="1"/>
    <col min="2823" max="2823" width="15.69140625" style="219" customWidth="1"/>
    <col min="2824" max="2824" width="2.69140625" style="219" customWidth="1"/>
    <col min="2825" max="2825" width="47" style="219" customWidth="1"/>
    <col min="2826" max="3072" width="11.3828125" style="219"/>
    <col min="3073" max="3073" width="23.69140625" style="219" customWidth="1"/>
    <col min="3074" max="3074" width="2.69140625" style="219" customWidth="1"/>
    <col min="3075" max="3075" width="15.69140625" style="219" customWidth="1"/>
    <col min="3076" max="3076" width="2.69140625" style="219" customWidth="1"/>
    <col min="3077" max="3077" width="15.69140625" style="219" customWidth="1"/>
    <col min="3078" max="3078" width="2.69140625" style="219" customWidth="1"/>
    <col min="3079" max="3079" width="15.69140625" style="219" customWidth="1"/>
    <col min="3080" max="3080" width="2.69140625" style="219" customWidth="1"/>
    <col min="3081" max="3081" width="47" style="219" customWidth="1"/>
    <col min="3082" max="3328" width="11.3828125" style="219"/>
    <col min="3329" max="3329" width="23.69140625" style="219" customWidth="1"/>
    <col min="3330" max="3330" width="2.69140625" style="219" customWidth="1"/>
    <col min="3331" max="3331" width="15.69140625" style="219" customWidth="1"/>
    <col min="3332" max="3332" width="2.69140625" style="219" customWidth="1"/>
    <col min="3333" max="3333" width="15.69140625" style="219" customWidth="1"/>
    <col min="3334" max="3334" width="2.69140625" style="219" customWidth="1"/>
    <col min="3335" max="3335" width="15.69140625" style="219" customWidth="1"/>
    <col min="3336" max="3336" width="2.69140625" style="219" customWidth="1"/>
    <col min="3337" max="3337" width="47" style="219" customWidth="1"/>
    <col min="3338" max="3584" width="11.3828125" style="219"/>
    <col min="3585" max="3585" width="23.69140625" style="219" customWidth="1"/>
    <col min="3586" max="3586" width="2.69140625" style="219" customWidth="1"/>
    <col min="3587" max="3587" width="15.69140625" style="219" customWidth="1"/>
    <col min="3588" max="3588" width="2.69140625" style="219" customWidth="1"/>
    <col min="3589" max="3589" width="15.69140625" style="219" customWidth="1"/>
    <col min="3590" max="3590" width="2.69140625" style="219" customWidth="1"/>
    <col min="3591" max="3591" width="15.69140625" style="219" customWidth="1"/>
    <col min="3592" max="3592" width="2.69140625" style="219" customWidth="1"/>
    <col min="3593" max="3593" width="47" style="219" customWidth="1"/>
    <col min="3594" max="3840" width="11.3828125" style="219"/>
    <col min="3841" max="3841" width="23.69140625" style="219" customWidth="1"/>
    <col min="3842" max="3842" width="2.69140625" style="219" customWidth="1"/>
    <col min="3843" max="3843" width="15.69140625" style="219" customWidth="1"/>
    <col min="3844" max="3844" width="2.69140625" style="219" customWidth="1"/>
    <col min="3845" max="3845" width="15.69140625" style="219" customWidth="1"/>
    <col min="3846" max="3846" width="2.69140625" style="219" customWidth="1"/>
    <col min="3847" max="3847" width="15.69140625" style="219" customWidth="1"/>
    <col min="3848" max="3848" width="2.69140625" style="219" customWidth="1"/>
    <col min="3849" max="3849" width="47" style="219" customWidth="1"/>
    <col min="3850" max="4096" width="11.3828125" style="219"/>
    <col min="4097" max="4097" width="23.69140625" style="219" customWidth="1"/>
    <col min="4098" max="4098" width="2.69140625" style="219" customWidth="1"/>
    <col min="4099" max="4099" width="15.69140625" style="219" customWidth="1"/>
    <col min="4100" max="4100" width="2.69140625" style="219" customWidth="1"/>
    <col min="4101" max="4101" width="15.69140625" style="219" customWidth="1"/>
    <col min="4102" max="4102" width="2.69140625" style="219" customWidth="1"/>
    <col min="4103" max="4103" width="15.69140625" style="219" customWidth="1"/>
    <col min="4104" max="4104" width="2.69140625" style="219" customWidth="1"/>
    <col min="4105" max="4105" width="47" style="219" customWidth="1"/>
    <col min="4106" max="4352" width="11.3828125" style="219"/>
    <col min="4353" max="4353" width="23.69140625" style="219" customWidth="1"/>
    <col min="4354" max="4354" width="2.69140625" style="219" customWidth="1"/>
    <col min="4355" max="4355" width="15.69140625" style="219" customWidth="1"/>
    <col min="4356" max="4356" width="2.69140625" style="219" customWidth="1"/>
    <col min="4357" max="4357" width="15.69140625" style="219" customWidth="1"/>
    <col min="4358" max="4358" width="2.69140625" style="219" customWidth="1"/>
    <col min="4359" max="4359" width="15.69140625" style="219" customWidth="1"/>
    <col min="4360" max="4360" width="2.69140625" style="219" customWidth="1"/>
    <col min="4361" max="4361" width="47" style="219" customWidth="1"/>
    <col min="4362" max="4608" width="11.3828125" style="219"/>
    <col min="4609" max="4609" width="23.69140625" style="219" customWidth="1"/>
    <col min="4610" max="4610" width="2.69140625" style="219" customWidth="1"/>
    <col min="4611" max="4611" width="15.69140625" style="219" customWidth="1"/>
    <col min="4612" max="4612" width="2.69140625" style="219" customWidth="1"/>
    <col min="4613" max="4613" width="15.69140625" style="219" customWidth="1"/>
    <col min="4614" max="4614" width="2.69140625" style="219" customWidth="1"/>
    <col min="4615" max="4615" width="15.69140625" style="219" customWidth="1"/>
    <col min="4616" max="4616" width="2.69140625" style="219" customWidth="1"/>
    <col min="4617" max="4617" width="47" style="219" customWidth="1"/>
    <col min="4618" max="4864" width="11.3828125" style="219"/>
    <col min="4865" max="4865" width="23.69140625" style="219" customWidth="1"/>
    <col min="4866" max="4866" width="2.69140625" style="219" customWidth="1"/>
    <col min="4867" max="4867" width="15.69140625" style="219" customWidth="1"/>
    <col min="4868" max="4868" width="2.69140625" style="219" customWidth="1"/>
    <col min="4869" max="4869" width="15.69140625" style="219" customWidth="1"/>
    <col min="4870" max="4870" width="2.69140625" style="219" customWidth="1"/>
    <col min="4871" max="4871" width="15.69140625" style="219" customWidth="1"/>
    <col min="4872" max="4872" width="2.69140625" style="219" customWidth="1"/>
    <col min="4873" max="4873" width="47" style="219" customWidth="1"/>
    <col min="4874" max="5120" width="11.3828125" style="219"/>
    <col min="5121" max="5121" width="23.69140625" style="219" customWidth="1"/>
    <col min="5122" max="5122" width="2.69140625" style="219" customWidth="1"/>
    <col min="5123" max="5123" width="15.69140625" style="219" customWidth="1"/>
    <col min="5124" max="5124" width="2.69140625" style="219" customWidth="1"/>
    <col min="5125" max="5125" width="15.69140625" style="219" customWidth="1"/>
    <col min="5126" max="5126" width="2.69140625" style="219" customWidth="1"/>
    <col min="5127" max="5127" width="15.69140625" style="219" customWidth="1"/>
    <col min="5128" max="5128" width="2.69140625" style="219" customWidth="1"/>
    <col min="5129" max="5129" width="47" style="219" customWidth="1"/>
    <col min="5130" max="5376" width="11.3828125" style="219"/>
    <col min="5377" max="5377" width="23.69140625" style="219" customWidth="1"/>
    <col min="5378" max="5378" width="2.69140625" style="219" customWidth="1"/>
    <col min="5379" max="5379" width="15.69140625" style="219" customWidth="1"/>
    <col min="5380" max="5380" width="2.69140625" style="219" customWidth="1"/>
    <col min="5381" max="5381" width="15.69140625" style="219" customWidth="1"/>
    <col min="5382" max="5382" width="2.69140625" style="219" customWidth="1"/>
    <col min="5383" max="5383" width="15.69140625" style="219" customWidth="1"/>
    <col min="5384" max="5384" width="2.69140625" style="219" customWidth="1"/>
    <col min="5385" max="5385" width="47" style="219" customWidth="1"/>
    <col min="5386" max="5632" width="11.3828125" style="219"/>
    <col min="5633" max="5633" width="23.69140625" style="219" customWidth="1"/>
    <col min="5634" max="5634" width="2.69140625" style="219" customWidth="1"/>
    <col min="5635" max="5635" width="15.69140625" style="219" customWidth="1"/>
    <col min="5636" max="5636" width="2.69140625" style="219" customWidth="1"/>
    <col min="5637" max="5637" width="15.69140625" style="219" customWidth="1"/>
    <col min="5638" max="5638" width="2.69140625" style="219" customWidth="1"/>
    <col min="5639" max="5639" width="15.69140625" style="219" customWidth="1"/>
    <col min="5640" max="5640" width="2.69140625" style="219" customWidth="1"/>
    <col min="5641" max="5641" width="47" style="219" customWidth="1"/>
    <col min="5642" max="5888" width="11.3828125" style="219"/>
    <col min="5889" max="5889" width="23.69140625" style="219" customWidth="1"/>
    <col min="5890" max="5890" width="2.69140625" style="219" customWidth="1"/>
    <col min="5891" max="5891" width="15.69140625" style="219" customWidth="1"/>
    <col min="5892" max="5892" width="2.69140625" style="219" customWidth="1"/>
    <col min="5893" max="5893" width="15.69140625" style="219" customWidth="1"/>
    <col min="5894" max="5894" width="2.69140625" style="219" customWidth="1"/>
    <col min="5895" max="5895" width="15.69140625" style="219" customWidth="1"/>
    <col min="5896" max="5896" width="2.69140625" style="219" customWidth="1"/>
    <col min="5897" max="5897" width="47" style="219" customWidth="1"/>
    <col min="5898" max="6144" width="11.3828125" style="219"/>
    <col min="6145" max="6145" width="23.69140625" style="219" customWidth="1"/>
    <col min="6146" max="6146" width="2.69140625" style="219" customWidth="1"/>
    <col min="6147" max="6147" width="15.69140625" style="219" customWidth="1"/>
    <col min="6148" max="6148" width="2.69140625" style="219" customWidth="1"/>
    <col min="6149" max="6149" width="15.69140625" style="219" customWidth="1"/>
    <col min="6150" max="6150" width="2.69140625" style="219" customWidth="1"/>
    <col min="6151" max="6151" width="15.69140625" style="219" customWidth="1"/>
    <col min="6152" max="6152" width="2.69140625" style="219" customWidth="1"/>
    <col min="6153" max="6153" width="47" style="219" customWidth="1"/>
    <col min="6154" max="6400" width="11.3828125" style="219"/>
    <col min="6401" max="6401" width="23.69140625" style="219" customWidth="1"/>
    <col min="6402" max="6402" width="2.69140625" style="219" customWidth="1"/>
    <col min="6403" max="6403" width="15.69140625" style="219" customWidth="1"/>
    <col min="6404" max="6404" width="2.69140625" style="219" customWidth="1"/>
    <col min="6405" max="6405" width="15.69140625" style="219" customWidth="1"/>
    <col min="6406" max="6406" width="2.69140625" style="219" customWidth="1"/>
    <col min="6407" max="6407" width="15.69140625" style="219" customWidth="1"/>
    <col min="6408" max="6408" width="2.69140625" style="219" customWidth="1"/>
    <col min="6409" max="6409" width="47" style="219" customWidth="1"/>
    <col min="6410" max="6656" width="11.3828125" style="219"/>
    <col min="6657" max="6657" width="23.69140625" style="219" customWidth="1"/>
    <col min="6658" max="6658" width="2.69140625" style="219" customWidth="1"/>
    <col min="6659" max="6659" width="15.69140625" style="219" customWidth="1"/>
    <col min="6660" max="6660" width="2.69140625" style="219" customWidth="1"/>
    <col min="6661" max="6661" width="15.69140625" style="219" customWidth="1"/>
    <col min="6662" max="6662" width="2.69140625" style="219" customWidth="1"/>
    <col min="6663" max="6663" width="15.69140625" style="219" customWidth="1"/>
    <col min="6664" max="6664" width="2.69140625" style="219" customWidth="1"/>
    <col min="6665" max="6665" width="47" style="219" customWidth="1"/>
    <col min="6666" max="6912" width="11.3828125" style="219"/>
    <col min="6913" max="6913" width="23.69140625" style="219" customWidth="1"/>
    <col min="6914" max="6914" width="2.69140625" style="219" customWidth="1"/>
    <col min="6915" max="6915" width="15.69140625" style="219" customWidth="1"/>
    <col min="6916" max="6916" width="2.69140625" style="219" customWidth="1"/>
    <col min="6917" max="6917" width="15.69140625" style="219" customWidth="1"/>
    <col min="6918" max="6918" width="2.69140625" style="219" customWidth="1"/>
    <col min="6919" max="6919" width="15.69140625" style="219" customWidth="1"/>
    <col min="6920" max="6920" width="2.69140625" style="219" customWidth="1"/>
    <col min="6921" max="6921" width="47" style="219" customWidth="1"/>
    <col min="6922" max="7168" width="11.3828125" style="219"/>
    <col min="7169" max="7169" width="23.69140625" style="219" customWidth="1"/>
    <col min="7170" max="7170" width="2.69140625" style="219" customWidth="1"/>
    <col min="7171" max="7171" width="15.69140625" style="219" customWidth="1"/>
    <col min="7172" max="7172" width="2.69140625" style="219" customWidth="1"/>
    <col min="7173" max="7173" width="15.69140625" style="219" customWidth="1"/>
    <col min="7174" max="7174" width="2.69140625" style="219" customWidth="1"/>
    <col min="7175" max="7175" width="15.69140625" style="219" customWidth="1"/>
    <col min="7176" max="7176" width="2.69140625" style="219" customWidth="1"/>
    <col min="7177" max="7177" width="47" style="219" customWidth="1"/>
    <col min="7178" max="7424" width="11.3828125" style="219"/>
    <col min="7425" max="7425" width="23.69140625" style="219" customWidth="1"/>
    <col min="7426" max="7426" width="2.69140625" style="219" customWidth="1"/>
    <col min="7427" max="7427" width="15.69140625" style="219" customWidth="1"/>
    <col min="7428" max="7428" width="2.69140625" style="219" customWidth="1"/>
    <col min="7429" max="7429" width="15.69140625" style="219" customWidth="1"/>
    <col min="7430" max="7430" width="2.69140625" style="219" customWidth="1"/>
    <col min="7431" max="7431" width="15.69140625" style="219" customWidth="1"/>
    <col min="7432" max="7432" width="2.69140625" style="219" customWidth="1"/>
    <col min="7433" max="7433" width="47" style="219" customWidth="1"/>
    <col min="7434" max="7680" width="11.3828125" style="219"/>
    <col min="7681" max="7681" width="23.69140625" style="219" customWidth="1"/>
    <col min="7682" max="7682" width="2.69140625" style="219" customWidth="1"/>
    <col min="7683" max="7683" width="15.69140625" style="219" customWidth="1"/>
    <col min="7684" max="7684" width="2.69140625" style="219" customWidth="1"/>
    <col min="7685" max="7685" width="15.69140625" style="219" customWidth="1"/>
    <col min="7686" max="7686" width="2.69140625" style="219" customWidth="1"/>
    <col min="7687" max="7687" width="15.69140625" style="219" customWidth="1"/>
    <col min="7688" max="7688" width="2.69140625" style="219" customWidth="1"/>
    <col min="7689" max="7689" width="47" style="219" customWidth="1"/>
    <col min="7690" max="7936" width="11.3828125" style="219"/>
    <col min="7937" max="7937" width="23.69140625" style="219" customWidth="1"/>
    <col min="7938" max="7938" width="2.69140625" style="219" customWidth="1"/>
    <col min="7939" max="7939" width="15.69140625" style="219" customWidth="1"/>
    <col min="7940" max="7940" width="2.69140625" style="219" customWidth="1"/>
    <col min="7941" max="7941" width="15.69140625" style="219" customWidth="1"/>
    <col min="7942" max="7942" width="2.69140625" style="219" customWidth="1"/>
    <col min="7943" max="7943" width="15.69140625" style="219" customWidth="1"/>
    <col min="7944" max="7944" width="2.69140625" style="219" customWidth="1"/>
    <col min="7945" max="7945" width="47" style="219" customWidth="1"/>
    <col min="7946" max="8192" width="11.3828125" style="219"/>
    <col min="8193" max="8193" width="23.69140625" style="219" customWidth="1"/>
    <col min="8194" max="8194" width="2.69140625" style="219" customWidth="1"/>
    <col min="8195" max="8195" width="15.69140625" style="219" customWidth="1"/>
    <col min="8196" max="8196" width="2.69140625" style="219" customWidth="1"/>
    <col min="8197" max="8197" width="15.69140625" style="219" customWidth="1"/>
    <col min="8198" max="8198" width="2.69140625" style="219" customWidth="1"/>
    <col min="8199" max="8199" width="15.69140625" style="219" customWidth="1"/>
    <col min="8200" max="8200" width="2.69140625" style="219" customWidth="1"/>
    <col min="8201" max="8201" width="47" style="219" customWidth="1"/>
    <col min="8202" max="8448" width="11.3828125" style="219"/>
    <col min="8449" max="8449" width="23.69140625" style="219" customWidth="1"/>
    <col min="8450" max="8450" width="2.69140625" style="219" customWidth="1"/>
    <col min="8451" max="8451" width="15.69140625" style="219" customWidth="1"/>
    <col min="8452" max="8452" width="2.69140625" style="219" customWidth="1"/>
    <col min="8453" max="8453" width="15.69140625" style="219" customWidth="1"/>
    <col min="8454" max="8454" width="2.69140625" style="219" customWidth="1"/>
    <col min="8455" max="8455" width="15.69140625" style="219" customWidth="1"/>
    <col min="8456" max="8456" width="2.69140625" style="219" customWidth="1"/>
    <col min="8457" max="8457" width="47" style="219" customWidth="1"/>
    <col min="8458" max="8704" width="11.3828125" style="219"/>
    <col min="8705" max="8705" width="23.69140625" style="219" customWidth="1"/>
    <col min="8706" max="8706" width="2.69140625" style="219" customWidth="1"/>
    <col min="8707" max="8707" width="15.69140625" style="219" customWidth="1"/>
    <col min="8708" max="8708" width="2.69140625" style="219" customWidth="1"/>
    <col min="8709" max="8709" width="15.69140625" style="219" customWidth="1"/>
    <col min="8710" max="8710" width="2.69140625" style="219" customWidth="1"/>
    <col min="8711" max="8711" width="15.69140625" style="219" customWidth="1"/>
    <col min="8712" max="8712" width="2.69140625" style="219" customWidth="1"/>
    <col min="8713" max="8713" width="47" style="219" customWidth="1"/>
    <col min="8714" max="8960" width="11.3828125" style="219"/>
    <col min="8961" max="8961" width="23.69140625" style="219" customWidth="1"/>
    <col min="8962" max="8962" width="2.69140625" style="219" customWidth="1"/>
    <col min="8963" max="8963" width="15.69140625" style="219" customWidth="1"/>
    <col min="8964" max="8964" width="2.69140625" style="219" customWidth="1"/>
    <col min="8965" max="8965" width="15.69140625" style="219" customWidth="1"/>
    <col min="8966" max="8966" width="2.69140625" style="219" customWidth="1"/>
    <col min="8967" max="8967" width="15.69140625" style="219" customWidth="1"/>
    <col min="8968" max="8968" width="2.69140625" style="219" customWidth="1"/>
    <col min="8969" max="8969" width="47" style="219" customWidth="1"/>
    <col min="8970" max="9216" width="11.3828125" style="219"/>
    <col min="9217" max="9217" width="23.69140625" style="219" customWidth="1"/>
    <col min="9218" max="9218" width="2.69140625" style="219" customWidth="1"/>
    <col min="9219" max="9219" width="15.69140625" style="219" customWidth="1"/>
    <col min="9220" max="9220" width="2.69140625" style="219" customWidth="1"/>
    <col min="9221" max="9221" width="15.69140625" style="219" customWidth="1"/>
    <col min="9222" max="9222" width="2.69140625" style="219" customWidth="1"/>
    <col min="9223" max="9223" width="15.69140625" style="219" customWidth="1"/>
    <col min="9224" max="9224" width="2.69140625" style="219" customWidth="1"/>
    <col min="9225" max="9225" width="47" style="219" customWidth="1"/>
    <col min="9226" max="9472" width="11.3828125" style="219"/>
    <col min="9473" max="9473" width="23.69140625" style="219" customWidth="1"/>
    <col min="9474" max="9474" width="2.69140625" style="219" customWidth="1"/>
    <col min="9475" max="9475" width="15.69140625" style="219" customWidth="1"/>
    <col min="9476" max="9476" width="2.69140625" style="219" customWidth="1"/>
    <col min="9477" max="9477" width="15.69140625" style="219" customWidth="1"/>
    <col min="9478" max="9478" width="2.69140625" style="219" customWidth="1"/>
    <col min="9479" max="9479" width="15.69140625" style="219" customWidth="1"/>
    <col min="9480" max="9480" width="2.69140625" style="219" customWidth="1"/>
    <col min="9481" max="9481" width="47" style="219" customWidth="1"/>
    <col min="9482" max="9728" width="11.3828125" style="219"/>
    <col min="9729" max="9729" width="23.69140625" style="219" customWidth="1"/>
    <col min="9730" max="9730" width="2.69140625" style="219" customWidth="1"/>
    <col min="9731" max="9731" width="15.69140625" style="219" customWidth="1"/>
    <col min="9732" max="9732" width="2.69140625" style="219" customWidth="1"/>
    <col min="9733" max="9733" width="15.69140625" style="219" customWidth="1"/>
    <col min="9734" max="9734" width="2.69140625" style="219" customWidth="1"/>
    <col min="9735" max="9735" width="15.69140625" style="219" customWidth="1"/>
    <col min="9736" max="9736" width="2.69140625" style="219" customWidth="1"/>
    <col min="9737" max="9737" width="47" style="219" customWidth="1"/>
    <col min="9738" max="9984" width="11.3828125" style="219"/>
    <col min="9985" max="9985" width="23.69140625" style="219" customWidth="1"/>
    <col min="9986" max="9986" width="2.69140625" style="219" customWidth="1"/>
    <col min="9987" max="9987" width="15.69140625" style="219" customWidth="1"/>
    <col min="9988" max="9988" width="2.69140625" style="219" customWidth="1"/>
    <col min="9989" max="9989" width="15.69140625" style="219" customWidth="1"/>
    <col min="9990" max="9990" width="2.69140625" style="219" customWidth="1"/>
    <col min="9991" max="9991" width="15.69140625" style="219" customWidth="1"/>
    <col min="9992" max="9992" width="2.69140625" style="219" customWidth="1"/>
    <col min="9993" max="9993" width="47" style="219" customWidth="1"/>
    <col min="9994" max="10240" width="11.3828125" style="219"/>
    <col min="10241" max="10241" width="23.69140625" style="219" customWidth="1"/>
    <col min="10242" max="10242" width="2.69140625" style="219" customWidth="1"/>
    <col min="10243" max="10243" width="15.69140625" style="219" customWidth="1"/>
    <col min="10244" max="10244" width="2.69140625" style="219" customWidth="1"/>
    <col min="10245" max="10245" width="15.69140625" style="219" customWidth="1"/>
    <col min="10246" max="10246" width="2.69140625" style="219" customWidth="1"/>
    <col min="10247" max="10247" width="15.69140625" style="219" customWidth="1"/>
    <col min="10248" max="10248" width="2.69140625" style="219" customWidth="1"/>
    <col min="10249" max="10249" width="47" style="219" customWidth="1"/>
    <col min="10250" max="10496" width="11.3828125" style="219"/>
    <col min="10497" max="10497" width="23.69140625" style="219" customWidth="1"/>
    <col min="10498" max="10498" width="2.69140625" style="219" customWidth="1"/>
    <col min="10499" max="10499" width="15.69140625" style="219" customWidth="1"/>
    <col min="10500" max="10500" width="2.69140625" style="219" customWidth="1"/>
    <col min="10501" max="10501" width="15.69140625" style="219" customWidth="1"/>
    <col min="10502" max="10502" width="2.69140625" style="219" customWidth="1"/>
    <col min="10503" max="10503" width="15.69140625" style="219" customWidth="1"/>
    <col min="10504" max="10504" width="2.69140625" style="219" customWidth="1"/>
    <col min="10505" max="10505" width="47" style="219" customWidth="1"/>
    <col min="10506" max="10752" width="11.3828125" style="219"/>
    <col min="10753" max="10753" width="23.69140625" style="219" customWidth="1"/>
    <col min="10754" max="10754" width="2.69140625" style="219" customWidth="1"/>
    <col min="10755" max="10755" width="15.69140625" style="219" customWidth="1"/>
    <col min="10756" max="10756" width="2.69140625" style="219" customWidth="1"/>
    <col min="10757" max="10757" width="15.69140625" style="219" customWidth="1"/>
    <col min="10758" max="10758" width="2.69140625" style="219" customWidth="1"/>
    <col min="10759" max="10759" width="15.69140625" style="219" customWidth="1"/>
    <col min="10760" max="10760" width="2.69140625" style="219" customWidth="1"/>
    <col min="10761" max="10761" width="47" style="219" customWidth="1"/>
    <col min="10762" max="11008" width="11.3828125" style="219"/>
    <col min="11009" max="11009" width="23.69140625" style="219" customWidth="1"/>
    <col min="11010" max="11010" width="2.69140625" style="219" customWidth="1"/>
    <col min="11011" max="11011" width="15.69140625" style="219" customWidth="1"/>
    <col min="11012" max="11012" width="2.69140625" style="219" customWidth="1"/>
    <col min="11013" max="11013" width="15.69140625" style="219" customWidth="1"/>
    <col min="11014" max="11014" width="2.69140625" style="219" customWidth="1"/>
    <col min="11015" max="11015" width="15.69140625" style="219" customWidth="1"/>
    <col min="11016" max="11016" width="2.69140625" style="219" customWidth="1"/>
    <col min="11017" max="11017" width="47" style="219" customWidth="1"/>
    <col min="11018" max="11264" width="11.3828125" style="219"/>
    <col min="11265" max="11265" width="23.69140625" style="219" customWidth="1"/>
    <col min="11266" max="11266" width="2.69140625" style="219" customWidth="1"/>
    <col min="11267" max="11267" width="15.69140625" style="219" customWidth="1"/>
    <col min="11268" max="11268" width="2.69140625" style="219" customWidth="1"/>
    <col min="11269" max="11269" width="15.69140625" style="219" customWidth="1"/>
    <col min="11270" max="11270" width="2.69140625" style="219" customWidth="1"/>
    <col min="11271" max="11271" width="15.69140625" style="219" customWidth="1"/>
    <col min="11272" max="11272" width="2.69140625" style="219" customWidth="1"/>
    <col min="11273" max="11273" width="47" style="219" customWidth="1"/>
    <col min="11274" max="11520" width="11.3828125" style="219"/>
    <col min="11521" max="11521" width="23.69140625" style="219" customWidth="1"/>
    <col min="11522" max="11522" width="2.69140625" style="219" customWidth="1"/>
    <col min="11523" max="11523" width="15.69140625" style="219" customWidth="1"/>
    <col min="11524" max="11524" width="2.69140625" style="219" customWidth="1"/>
    <col min="11525" max="11525" width="15.69140625" style="219" customWidth="1"/>
    <col min="11526" max="11526" width="2.69140625" style="219" customWidth="1"/>
    <col min="11527" max="11527" width="15.69140625" style="219" customWidth="1"/>
    <col min="11528" max="11528" width="2.69140625" style="219" customWidth="1"/>
    <col min="11529" max="11529" width="47" style="219" customWidth="1"/>
    <col min="11530" max="11776" width="11.3828125" style="219"/>
    <col min="11777" max="11777" width="23.69140625" style="219" customWidth="1"/>
    <col min="11778" max="11778" width="2.69140625" style="219" customWidth="1"/>
    <col min="11779" max="11779" width="15.69140625" style="219" customWidth="1"/>
    <col min="11780" max="11780" width="2.69140625" style="219" customWidth="1"/>
    <col min="11781" max="11781" width="15.69140625" style="219" customWidth="1"/>
    <col min="11782" max="11782" width="2.69140625" style="219" customWidth="1"/>
    <col min="11783" max="11783" width="15.69140625" style="219" customWidth="1"/>
    <col min="11784" max="11784" width="2.69140625" style="219" customWidth="1"/>
    <col min="11785" max="11785" width="47" style="219" customWidth="1"/>
    <col min="11786" max="12032" width="11.3828125" style="219"/>
    <col min="12033" max="12033" width="23.69140625" style="219" customWidth="1"/>
    <col min="12034" max="12034" width="2.69140625" style="219" customWidth="1"/>
    <col min="12035" max="12035" width="15.69140625" style="219" customWidth="1"/>
    <col min="12036" max="12036" width="2.69140625" style="219" customWidth="1"/>
    <col min="12037" max="12037" width="15.69140625" style="219" customWidth="1"/>
    <col min="12038" max="12038" width="2.69140625" style="219" customWidth="1"/>
    <col min="12039" max="12039" width="15.69140625" style="219" customWidth="1"/>
    <col min="12040" max="12040" width="2.69140625" style="219" customWidth="1"/>
    <col min="12041" max="12041" width="47" style="219" customWidth="1"/>
    <col min="12042" max="12288" width="11.3828125" style="219"/>
    <col min="12289" max="12289" width="23.69140625" style="219" customWidth="1"/>
    <col min="12290" max="12290" width="2.69140625" style="219" customWidth="1"/>
    <col min="12291" max="12291" width="15.69140625" style="219" customWidth="1"/>
    <col min="12292" max="12292" width="2.69140625" style="219" customWidth="1"/>
    <col min="12293" max="12293" width="15.69140625" style="219" customWidth="1"/>
    <col min="12294" max="12294" width="2.69140625" style="219" customWidth="1"/>
    <col min="12295" max="12295" width="15.69140625" style="219" customWidth="1"/>
    <col min="12296" max="12296" width="2.69140625" style="219" customWidth="1"/>
    <col min="12297" max="12297" width="47" style="219" customWidth="1"/>
    <col min="12298" max="12544" width="11.3828125" style="219"/>
    <col min="12545" max="12545" width="23.69140625" style="219" customWidth="1"/>
    <col min="12546" max="12546" width="2.69140625" style="219" customWidth="1"/>
    <col min="12547" max="12547" width="15.69140625" style="219" customWidth="1"/>
    <col min="12548" max="12548" width="2.69140625" style="219" customWidth="1"/>
    <col min="12549" max="12549" width="15.69140625" style="219" customWidth="1"/>
    <col min="12550" max="12550" width="2.69140625" style="219" customWidth="1"/>
    <col min="12551" max="12551" width="15.69140625" style="219" customWidth="1"/>
    <col min="12552" max="12552" width="2.69140625" style="219" customWidth="1"/>
    <col min="12553" max="12553" width="47" style="219" customWidth="1"/>
    <col min="12554" max="12800" width="11.3828125" style="219"/>
    <col min="12801" max="12801" width="23.69140625" style="219" customWidth="1"/>
    <col min="12802" max="12802" width="2.69140625" style="219" customWidth="1"/>
    <col min="12803" max="12803" width="15.69140625" style="219" customWidth="1"/>
    <col min="12804" max="12804" width="2.69140625" style="219" customWidth="1"/>
    <col min="12805" max="12805" width="15.69140625" style="219" customWidth="1"/>
    <col min="12806" max="12806" width="2.69140625" style="219" customWidth="1"/>
    <col min="12807" max="12807" width="15.69140625" style="219" customWidth="1"/>
    <col min="12808" max="12808" width="2.69140625" style="219" customWidth="1"/>
    <col min="12809" max="12809" width="47" style="219" customWidth="1"/>
    <col min="12810" max="13056" width="11.3828125" style="219"/>
    <col min="13057" max="13057" width="23.69140625" style="219" customWidth="1"/>
    <col min="13058" max="13058" width="2.69140625" style="219" customWidth="1"/>
    <col min="13059" max="13059" width="15.69140625" style="219" customWidth="1"/>
    <col min="13060" max="13060" width="2.69140625" style="219" customWidth="1"/>
    <col min="13061" max="13061" width="15.69140625" style="219" customWidth="1"/>
    <col min="13062" max="13062" width="2.69140625" style="219" customWidth="1"/>
    <col min="13063" max="13063" width="15.69140625" style="219" customWidth="1"/>
    <col min="13064" max="13064" width="2.69140625" style="219" customWidth="1"/>
    <col min="13065" max="13065" width="47" style="219" customWidth="1"/>
    <col min="13066" max="13312" width="11.3828125" style="219"/>
    <col min="13313" max="13313" width="23.69140625" style="219" customWidth="1"/>
    <col min="13314" max="13314" width="2.69140625" style="219" customWidth="1"/>
    <col min="13315" max="13315" width="15.69140625" style="219" customWidth="1"/>
    <col min="13316" max="13316" width="2.69140625" style="219" customWidth="1"/>
    <col min="13317" max="13317" width="15.69140625" style="219" customWidth="1"/>
    <col min="13318" max="13318" width="2.69140625" style="219" customWidth="1"/>
    <col min="13319" max="13319" width="15.69140625" style="219" customWidth="1"/>
    <col min="13320" max="13320" width="2.69140625" style="219" customWidth="1"/>
    <col min="13321" max="13321" width="47" style="219" customWidth="1"/>
    <col min="13322" max="13568" width="11.3828125" style="219"/>
    <col min="13569" max="13569" width="23.69140625" style="219" customWidth="1"/>
    <col min="13570" max="13570" width="2.69140625" style="219" customWidth="1"/>
    <col min="13571" max="13571" width="15.69140625" style="219" customWidth="1"/>
    <col min="13572" max="13572" width="2.69140625" style="219" customWidth="1"/>
    <col min="13573" max="13573" width="15.69140625" style="219" customWidth="1"/>
    <col min="13574" max="13574" width="2.69140625" style="219" customWidth="1"/>
    <col min="13575" max="13575" width="15.69140625" style="219" customWidth="1"/>
    <col min="13576" max="13576" width="2.69140625" style="219" customWidth="1"/>
    <col min="13577" max="13577" width="47" style="219" customWidth="1"/>
    <col min="13578" max="13824" width="11.3828125" style="219"/>
    <col min="13825" max="13825" width="23.69140625" style="219" customWidth="1"/>
    <col min="13826" max="13826" width="2.69140625" style="219" customWidth="1"/>
    <col min="13827" max="13827" width="15.69140625" style="219" customWidth="1"/>
    <col min="13828" max="13828" width="2.69140625" style="219" customWidth="1"/>
    <col min="13829" max="13829" width="15.69140625" style="219" customWidth="1"/>
    <col min="13830" max="13830" width="2.69140625" style="219" customWidth="1"/>
    <col min="13831" max="13831" width="15.69140625" style="219" customWidth="1"/>
    <col min="13832" max="13832" width="2.69140625" style="219" customWidth="1"/>
    <col min="13833" max="13833" width="47" style="219" customWidth="1"/>
    <col min="13834" max="14080" width="11.3828125" style="219"/>
    <col min="14081" max="14081" width="23.69140625" style="219" customWidth="1"/>
    <col min="14082" max="14082" width="2.69140625" style="219" customWidth="1"/>
    <col min="14083" max="14083" width="15.69140625" style="219" customWidth="1"/>
    <col min="14084" max="14084" width="2.69140625" style="219" customWidth="1"/>
    <col min="14085" max="14085" width="15.69140625" style="219" customWidth="1"/>
    <col min="14086" max="14086" width="2.69140625" style="219" customWidth="1"/>
    <col min="14087" max="14087" width="15.69140625" style="219" customWidth="1"/>
    <col min="14088" max="14088" width="2.69140625" style="219" customWidth="1"/>
    <col min="14089" max="14089" width="47" style="219" customWidth="1"/>
    <col min="14090" max="14336" width="11.3828125" style="219"/>
    <col min="14337" max="14337" width="23.69140625" style="219" customWidth="1"/>
    <col min="14338" max="14338" width="2.69140625" style="219" customWidth="1"/>
    <col min="14339" max="14339" width="15.69140625" style="219" customWidth="1"/>
    <col min="14340" max="14340" width="2.69140625" style="219" customWidth="1"/>
    <col min="14341" max="14341" width="15.69140625" style="219" customWidth="1"/>
    <col min="14342" max="14342" width="2.69140625" style="219" customWidth="1"/>
    <col min="14343" max="14343" width="15.69140625" style="219" customWidth="1"/>
    <col min="14344" max="14344" width="2.69140625" style="219" customWidth="1"/>
    <col min="14345" max="14345" width="47" style="219" customWidth="1"/>
    <col min="14346" max="14592" width="11.3828125" style="219"/>
    <col min="14593" max="14593" width="23.69140625" style="219" customWidth="1"/>
    <col min="14594" max="14594" width="2.69140625" style="219" customWidth="1"/>
    <col min="14595" max="14595" width="15.69140625" style="219" customWidth="1"/>
    <col min="14596" max="14596" width="2.69140625" style="219" customWidth="1"/>
    <col min="14597" max="14597" width="15.69140625" style="219" customWidth="1"/>
    <col min="14598" max="14598" width="2.69140625" style="219" customWidth="1"/>
    <col min="14599" max="14599" width="15.69140625" style="219" customWidth="1"/>
    <col min="14600" max="14600" width="2.69140625" style="219" customWidth="1"/>
    <col min="14601" max="14601" width="47" style="219" customWidth="1"/>
    <col min="14602" max="14848" width="11.3828125" style="219"/>
    <col min="14849" max="14849" width="23.69140625" style="219" customWidth="1"/>
    <col min="14850" max="14850" width="2.69140625" style="219" customWidth="1"/>
    <col min="14851" max="14851" width="15.69140625" style="219" customWidth="1"/>
    <col min="14852" max="14852" width="2.69140625" style="219" customWidth="1"/>
    <col min="14853" max="14853" width="15.69140625" style="219" customWidth="1"/>
    <col min="14854" max="14854" width="2.69140625" style="219" customWidth="1"/>
    <col min="14855" max="14855" width="15.69140625" style="219" customWidth="1"/>
    <col min="14856" max="14856" width="2.69140625" style="219" customWidth="1"/>
    <col min="14857" max="14857" width="47" style="219" customWidth="1"/>
    <col min="14858" max="15104" width="11.3828125" style="219"/>
    <col min="15105" max="15105" width="23.69140625" style="219" customWidth="1"/>
    <col min="15106" max="15106" width="2.69140625" style="219" customWidth="1"/>
    <col min="15107" max="15107" width="15.69140625" style="219" customWidth="1"/>
    <col min="15108" max="15108" width="2.69140625" style="219" customWidth="1"/>
    <col min="15109" max="15109" width="15.69140625" style="219" customWidth="1"/>
    <col min="15110" max="15110" width="2.69140625" style="219" customWidth="1"/>
    <col min="15111" max="15111" width="15.69140625" style="219" customWidth="1"/>
    <col min="15112" max="15112" width="2.69140625" style="219" customWidth="1"/>
    <col min="15113" max="15113" width="47" style="219" customWidth="1"/>
    <col min="15114" max="15360" width="11.3828125" style="219"/>
    <col min="15361" max="15361" width="23.69140625" style="219" customWidth="1"/>
    <col min="15362" max="15362" width="2.69140625" style="219" customWidth="1"/>
    <col min="15363" max="15363" width="15.69140625" style="219" customWidth="1"/>
    <col min="15364" max="15364" width="2.69140625" style="219" customWidth="1"/>
    <col min="15365" max="15365" width="15.69140625" style="219" customWidth="1"/>
    <col min="15366" max="15366" width="2.69140625" style="219" customWidth="1"/>
    <col min="15367" max="15367" width="15.69140625" style="219" customWidth="1"/>
    <col min="15368" max="15368" width="2.69140625" style="219" customWidth="1"/>
    <col min="15369" max="15369" width="47" style="219" customWidth="1"/>
    <col min="15370" max="15616" width="11.3828125" style="219"/>
    <col min="15617" max="15617" width="23.69140625" style="219" customWidth="1"/>
    <col min="15618" max="15618" width="2.69140625" style="219" customWidth="1"/>
    <col min="15619" max="15619" width="15.69140625" style="219" customWidth="1"/>
    <col min="15620" max="15620" width="2.69140625" style="219" customWidth="1"/>
    <col min="15621" max="15621" width="15.69140625" style="219" customWidth="1"/>
    <col min="15622" max="15622" width="2.69140625" style="219" customWidth="1"/>
    <col min="15623" max="15623" width="15.69140625" style="219" customWidth="1"/>
    <col min="15624" max="15624" width="2.69140625" style="219" customWidth="1"/>
    <col min="15625" max="15625" width="47" style="219" customWidth="1"/>
    <col min="15626" max="15872" width="11.3828125" style="219"/>
    <col min="15873" max="15873" width="23.69140625" style="219" customWidth="1"/>
    <col min="15874" max="15874" width="2.69140625" style="219" customWidth="1"/>
    <col min="15875" max="15875" width="15.69140625" style="219" customWidth="1"/>
    <col min="15876" max="15876" width="2.69140625" style="219" customWidth="1"/>
    <col min="15877" max="15877" width="15.69140625" style="219" customWidth="1"/>
    <col min="15878" max="15878" width="2.69140625" style="219" customWidth="1"/>
    <col min="15879" max="15879" width="15.69140625" style="219" customWidth="1"/>
    <col min="15880" max="15880" width="2.69140625" style="219" customWidth="1"/>
    <col min="15881" max="15881" width="47" style="219" customWidth="1"/>
    <col min="15882" max="16128" width="11.3828125" style="219"/>
    <col min="16129" max="16129" width="23.69140625" style="219" customWidth="1"/>
    <col min="16130" max="16130" width="2.69140625" style="219" customWidth="1"/>
    <col min="16131" max="16131" width="15.69140625" style="219" customWidth="1"/>
    <col min="16132" max="16132" width="2.69140625" style="219" customWidth="1"/>
    <col min="16133" max="16133" width="15.69140625" style="219" customWidth="1"/>
    <col min="16134" max="16134" width="2.69140625" style="219" customWidth="1"/>
    <col min="16135" max="16135" width="15.69140625" style="219" customWidth="1"/>
    <col min="16136" max="16136" width="2.69140625" style="219" customWidth="1"/>
    <col min="16137" max="16137" width="47" style="219" customWidth="1"/>
    <col min="16138" max="16384" width="11.3828125" style="219"/>
  </cols>
  <sheetData>
    <row r="1" spans="1:11" ht="46" customHeight="1">
      <c r="A1" s="461" t="s">
        <v>351</v>
      </c>
      <c r="B1" s="461"/>
      <c r="C1" s="461"/>
      <c r="D1" s="461"/>
      <c r="E1" s="461"/>
      <c r="F1" s="461"/>
      <c r="G1" s="461"/>
      <c r="H1" s="461"/>
      <c r="I1" s="461"/>
    </row>
    <row r="2" spans="1:11" ht="8.25" customHeight="1">
      <c r="A2" s="220"/>
      <c r="B2" s="221"/>
    </row>
    <row r="3" spans="1:11" ht="24" customHeight="1">
      <c r="A3" s="222"/>
      <c r="B3" s="223"/>
      <c r="C3" s="224" t="s">
        <v>352</v>
      </c>
      <c r="D3" s="225"/>
      <c r="E3" s="224" t="s">
        <v>353</v>
      </c>
      <c r="F3" s="225"/>
      <c r="G3" s="224" t="s">
        <v>354</v>
      </c>
      <c r="H3" s="225"/>
      <c r="I3" s="224" t="s">
        <v>355</v>
      </c>
    </row>
    <row r="4" spans="1:11" ht="15" customHeight="1">
      <c r="A4" s="226" t="s">
        <v>356</v>
      </c>
      <c r="B4" s="227"/>
      <c r="C4" s="228">
        <f>'Compte d''exploitation période'!F4</f>
        <v>341228.16</v>
      </c>
      <c r="D4" s="228"/>
      <c r="E4" s="228">
        <v>22060</v>
      </c>
      <c r="F4" s="228"/>
      <c r="G4" s="228">
        <f>E4-C4</f>
        <v>-319168.15999999997</v>
      </c>
      <c r="H4" s="227"/>
      <c r="I4" s="227"/>
    </row>
    <row r="5" spans="1:11" ht="6" customHeight="1">
      <c r="A5" s="226"/>
      <c r="B5" s="227"/>
      <c r="C5" s="228"/>
      <c r="D5" s="228"/>
      <c r="E5" s="228"/>
      <c r="F5" s="228"/>
      <c r="G5" s="228"/>
      <c r="H5" s="227"/>
      <c r="I5" s="229"/>
    </row>
    <row r="6" spans="1:11" ht="15" customHeight="1">
      <c r="A6" s="226" t="s">
        <v>357</v>
      </c>
      <c r="B6" s="227"/>
      <c r="C6" s="228">
        <f>'Compte d''exploitation période'!F6</f>
        <v>121867.24874687998</v>
      </c>
      <c r="D6" s="228"/>
      <c r="E6" s="228">
        <v>15442</v>
      </c>
      <c r="F6" s="228"/>
      <c r="G6" s="228">
        <f>E6-C6</f>
        <v>-106425.24874687998</v>
      </c>
      <c r="H6" s="227"/>
      <c r="I6" s="230"/>
    </row>
    <row r="7" spans="1:11" ht="6" customHeight="1">
      <c r="A7" s="226"/>
      <c r="B7" s="227"/>
      <c r="C7" s="228"/>
      <c r="D7" s="228"/>
      <c r="E7" s="228"/>
      <c r="F7" s="228"/>
      <c r="G7" s="228"/>
      <c r="H7" s="227"/>
      <c r="I7" s="229"/>
    </row>
    <row r="8" spans="1:11" ht="15" customHeight="1">
      <c r="A8" s="226" t="s">
        <v>358</v>
      </c>
      <c r="B8" s="227"/>
      <c r="C8" s="228">
        <f>'Compte d''exploitation période'!D4+'Compte d''exploitation période'!E4</f>
        <v>82131.839999999997</v>
      </c>
      <c r="D8" s="228"/>
      <c r="E8" s="228">
        <v>23300</v>
      </c>
      <c r="F8" s="228"/>
      <c r="G8" s="228">
        <f>E8-C8</f>
        <v>-58831.839999999997</v>
      </c>
      <c r="H8" s="227"/>
      <c r="I8" s="229"/>
    </row>
    <row r="9" spans="1:11" ht="6" customHeight="1">
      <c r="A9" s="226"/>
      <c r="B9" s="227"/>
      <c r="C9" s="228"/>
      <c r="D9" s="228"/>
      <c r="E9" s="228"/>
      <c r="F9" s="228"/>
      <c r="G9" s="228"/>
      <c r="H9" s="227"/>
      <c r="I9" s="229"/>
    </row>
    <row r="10" spans="1:11" ht="15" customHeight="1">
      <c r="A10" s="226" t="s">
        <v>359</v>
      </c>
      <c r="B10" s="227"/>
      <c r="C10" s="228">
        <f>C4-C6+C8</f>
        <v>301492.75125312002</v>
      </c>
      <c r="D10" s="228"/>
      <c r="E10" s="228">
        <f t="shared" ref="E10" si="0">E4-E6+E8</f>
        <v>29918</v>
      </c>
      <c r="F10" s="228"/>
      <c r="G10" s="228">
        <f>E10-C10</f>
        <v>-271574.75125312002</v>
      </c>
      <c r="H10" s="227"/>
      <c r="I10" s="229"/>
    </row>
    <row r="11" spans="1:11" ht="6" customHeight="1">
      <c r="A11" s="226"/>
      <c r="B11" s="227"/>
      <c r="C11" s="228"/>
      <c r="D11" s="228"/>
      <c r="E11" s="228"/>
      <c r="F11" s="228"/>
      <c r="G11" s="228"/>
      <c r="H11" s="227"/>
      <c r="I11" s="227"/>
    </row>
    <row r="12" spans="1:11" ht="15" customHeight="1">
      <c r="A12" s="226" t="s">
        <v>360</v>
      </c>
      <c r="B12" s="227"/>
      <c r="C12" s="228">
        <f>'Compte d''exploitation période'!B11</f>
        <v>106200</v>
      </c>
      <c r="D12" s="228"/>
      <c r="E12" s="228">
        <v>4500</v>
      </c>
      <c r="F12" s="228"/>
      <c r="G12" s="228">
        <f>E12-C12</f>
        <v>-101700</v>
      </c>
      <c r="H12" s="227"/>
      <c r="I12" s="227"/>
    </row>
    <row r="13" spans="1:11" ht="6" customHeight="1">
      <c r="A13" s="226"/>
      <c r="B13" s="227"/>
      <c r="C13" s="228"/>
      <c r="D13" s="228"/>
      <c r="E13" s="228"/>
      <c r="F13" s="228"/>
      <c r="G13" s="228"/>
      <c r="H13" s="227"/>
      <c r="I13" s="227"/>
    </row>
    <row r="14" spans="1:11" ht="15" customHeight="1">
      <c r="A14" s="226" t="s">
        <v>361</v>
      </c>
      <c r="B14" s="227"/>
      <c r="C14" s="228">
        <f>'Compte d''exploitation période'!B13</f>
        <v>12000</v>
      </c>
      <c r="D14" s="228"/>
      <c r="E14" s="228">
        <v>9900</v>
      </c>
      <c r="F14" s="228"/>
      <c r="G14" s="228">
        <f t="shared" ref="G14:G42" si="1">E14-C14</f>
        <v>-2100</v>
      </c>
      <c r="H14" s="227"/>
      <c r="I14" s="227"/>
      <c r="J14" s="231"/>
      <c r="K14" s="231"/>
    </row>
    <row r="15" spans="1:11" ht="6" customHeight="1">
      <c r="A15" s="226"/>
      <c r="B15" s="227"/>
      <c r="C15" s="228"/>
      <c r="D15" s="228"/>
      <c r="E15" s="228"/>
      <c r="F15" s="228"/>
      <c r="G15" s="228"/>
      <c r="H15" s="227"/>
      <c r="I15" s="227"/>
    </row>
    <row r="16" spans="1:11" ht="15" customHeight="1">
      <c r="A16" s="226" t="s">
        <v>362</v>
      </c>
      <c r="B16" s="227"/>
      <c r="C16" s="228">
        <f>'Compte d''exploitation période'!B12</f>
        <v>13181.2</v>
      </c>
      <c r="D16" s="228"/>
      <c r="E16" s="228">
        <v>625</v>
      </c>
      <c r="F16" s="228"/>
      <c r="G16" s="228">
        <f t="shared" si="1"/>
        <v>-12556.2</v>
      </c>
      <c r="H16" s="227"/>
      <c r="I16" s="227"/>
    </row>
    <row r="17" spans="1:9" ht="6" customHeight="1">
      <c r="A17" s="226"/>
      <c r="B17" s="227"/>
      <c r="C17" s="228"/>
      <c r="D17" s="228"/>
      <c r="E17" s="228"/>
      <c r="F17" s="228"/>
      <c r="G17" s="228"/>
      <c r="H17" s="227"/>
      <c r="I17" s="227"/>
    </row>
    <row r="18" spans="1:9" ht="15" customHeight="1">
      <c r="A18" s="226" t="s">
        <v>363</v>
      </c>
      <c r="B18" s="227"/>
      <c r="C18" s="228">
        <f>'Compte d''exploitation période'!B14</f>
        <v>1800</v>
      </c>
      <c r="D18" s="228"/>
      <c r="E18" s="228">
        <v>1842.45</v>
      </c>
      <c r="F18" s="228"/>
      <c r="G18" s="228">
        <f t="shared" si="1"/>
        <v>42.450000000000045</v>
      </c>
      <c r="H18" s="227"/>
      <c r="I18" s="227"/>
    </row>
    <row r="19" spans="1:9" ht="6" customHeight="1">
      <c r="A19" s="226"/>
      <c r="B19" s="227"/>
      <c r="C19" s="228"/>
      <c r="D19" s="228"/>
      <c r="E19" s="228"/>
      <c r="F19" s="228"/>
      <c r="G19" s="228"/>
      <c r="H19" s="227"/>
      <c r="I19" s="227"/>
    </row>
    <row r="20" spans="1:9" ht="15" customHeight="1">
      <c r="A20" s="226" t="s">
        <v>364</v>
      </c>
      <c r="B20" s="227"/>
      <c r="C20" s="228">
        <f>'Compte d''exploitation période'!B15</f>
        <v>21600</v>
      </c>
      <c r="D20" s="228"/>
      <c r="E20" s="228">
        <v>1000</v>
      </c>
      <c r="F20" s="228"/>
      <c r="G20" s="228">
        <f t="shared" si="1"/>
        <v>-20600</v>
      </c>
      <c r="H20" s="227"/>
      <c r="I20" s="227"/>
    </row>
    <row r="21" spans="1:9" ht="6" customHeight="1">
      <c r="A21" s="226"/>
      <c r="B21" s="227"/>
      <c r="C21" s="228"/>
      <c r="D21" s="228"/>
      <c r="E21" s="228"/>
      <c r="F21" s="228"/>
      <c r="G21" s="228"/>
      <c r="H21" s="227"/>
      <c r="I21" s="227"/>
    </row>
    <row r="22" spans="1:9" ht="15" customHeight="1">
      <c r="A22" s="226" t="s">
        <v>365</v>
      </c>
      <c r="B22" s="227"/>
      <c r="C22" s="228">
        <f>'Compte d''exploitation période'!B26</f>
        <v>2800.0000000000005</v>
      </c>
      <c r="D22" s="228"/>
      <c r="E22" s="228">
        <v>90</v>
      </c>
      <c r="F22" s="228"/>
      <c r="G22" s="228">
        <f t="shared" si="1"/>
        <v>-2710.0000000000005</v>
      </c>
      <c r="H22" s="227"/>
      <c r="I22" s="227"/>
    </row>
    <row r="23" spans="1:9" ht="6" customHeight="1">
      <c r="A23" s="226"/>
      <c r="B23" s="227"/>
      <c r="C23" s="228"/>
      <c r="D23" s="228"/>
      <c r="E23" s="228"/>
      <c r="F23" s="228"/>
      <c r="G23" s="228"/>
      <c r="H23" s="227"/>
      <c r="I23" s="227"/>
    </row>
    <row r="24" spans="1:9" ht="15" customHeight="1">
      <c r="A24" s="226" t="s">
        <v>366</v>
      </c>
      <c r="B24" s="227"/>
      <c r="C24" s="228">
        <f>'Compte d''exploitation période'!B17</f>
        <v>21300</v>
      </c>
      <c r="D24" s="228"/>
      <c r="E24" s="228">
        <v>216.65</v>
      </c>
      <c r="F24" s="228"/>
      <c r="G24" s="228">
        <f t="shared" si="1"/>
        <v>-21083.35</v>
      </c>
      <c r="H24" s="227"/>
      <c r="I24" s="227"/>
    </row>
    <row r="25" spans="1:9" ht="6" customHeight="1">
      <c r="A25" s="226"/>
      <c r="B25" s="227"/>
      <c r="C25" s="228"/>
      <c r="D25" s="228"/>
      <c r="E25" s="228"/>
      <c r="F25" s="228"/>
      <c r="G25" s="228"/>
      <c r="H25" s="227"/>
      <c r="I25" s="227"/>
    </row>
    <row r="26" spans="1:9" ht="15" customHeight="1">
      <c r="A26" s="226" t="s">
        <v>367</v>
      </c>
      <c r="B26" s="227"/>
      <c r="C26" s="228">
        <f>'Compte d''exploitation période'!B19</f>
        <v>1020</v>
      </c>
      <c r="D26" s="228"/>
      <c r="E26" s="228">
        <v>83.35</v>
      </c>
      <c r="F26" s="228"/>
      <c r="G26" s="228">
        <f t="shared" si="1"/>
        <v>-936.65</v>
      </c>
      <c r="H26" s="227"/>
      <c r="I26" s="227"/>
    </row>
    <row r="27" spans="1:9" ht="6" customHeight="1">
      <c r="A27" s="226"/>
      <c r="B27" s="227"/>
      <c r="C27" s="228"/>
      <c r="D27" s="228"/>
      <c r="E27" s="228"/>
      <c r="F27" s="228"/>
      <c r="G27" s="228"/>
      <c r="H27" s="227"/>
      <c r="I27" s="227"/>
    </row>
    <row r="28" spans="1:9" ht="15" customHeight="1">
      <c r="A28" s="226" t="s">
        <v>368</v>
      </c>
      <c r="B28" s="227"/>
      <c r="C28" s="228">
        <f>'Compte d''exploitation période'!B23+'Compte d''exploitation période'!B22++'Compte d''exploitation période'!B21</f>
        <v>5400</v>
      </c>
      <c r="D28" s="228"/>
      <c r="E28" s="228">
        <v>1025</v>
      </c>
      <c r="F28" s="228"/>
      <c r="G28" s="228">
        <f t="shared" si="1"/>
        <v>-4375</v>
      </c>
      <c r="H28" s="227"/>
      <c r="I28" s="227"/>
    </row>
    <row r="29" spans="1:9" ht="6" customHeight="1">
      <c r="A29" s="226"/>
      <c r="B29" s="227"/>
      <c r="C29" s="228"/>
      <c r="D29" s="228"/>
      <c r="E29" s="228"/>
      <c r="F29" s="228"/>
      <c r="G29" s="228"/>
      <c r="H29" s="227"/>
      <c r="I29" s="227"/>
    </row>
    <row r="30" spans="1:9" ht="15" customHeight="1">
      <c r="A30" s="226" t="s">
        <v>369</v>
      </c>
      <c r="B30" s="227"/>
      <c r="C30" s="228">
        <f>'Compte d''exploitation période'!B16</f>
        <v>1200</v>
      </c>
      <c r="D30" s="228"/>
      <c r="E30" s="228"/>
      <c r="F30" s="228"/>
      <c r="G30" s="228">
        <f t="shared" si="1"/>
        <v>-1200</v>
      </c>
      <c r="H30" s="227"/>
      <c r="I30" s="227"/>
    </row>
    <row r="31" spans="1:9" ht="6" customHeight="1">
      <c r="A31" s="226"/>
      <c r="B31" s="227"/>
      <c r="C31" s="228"/>
      <c r="D31" s="228"/>
      <c r="E31" s="228"/>
      <c r="F31" s="228"/>
      <c r="G31" s="228"/>
      <c r="H31" s="227"/>
      <c r="I31" s="227"/>
    </row>
    <row r="32" spans="1:9" ht="15" customHeight="1">
      <c r="A32" s="226" t="s">
        <v>370</v>
      </c>
      <c r="B32" s="227"/>
      <c r="C32" s="228">
        <f>'Compte d''exploitation période'!B24</f>
        <v>2000</v>
      </c>
      <c r="D32" s="228"/>
      <c r="E32" s="228">
        <v>5666.6</v>
      </c>
      <c r="F32" s="228"/>
      <c r="G32" s="228">
        <f t="shared" si="1"/>
        <v>3666.6000000000004</v>
      </c>
      <c r="H32" s="227"/>
      <c r="I32" s="227"/>
    </row>
    <row r="33" spans="1:9" ht="6" customHeight="1">
      <c r="A33" s="226"/>
      <c r="B33" s="227"/>
      <c r="C33" s="228"/>
      <c r="D33" s="228"/>
      <c r="E33" s="228"/>
      <c r="F33" s="228"/>
      <c r="G33" s="228"/>
      <c r="H33" s="227"/>
      <c r="I33" s="227"/>
    </row>
    <row r="34" spans="1:9" ht="15" customHeight="1">
      <c r="A34" s="226" t="s">
        <v>371</v>
      </c>
      <c r="B34" s="227"/>
      <c r="C34" s="228">
        <f>'Compte d''exploitation période'!B25</f>
        <v>3000</v>
      </c>
      <c r="D34" s="228"/>
      <c r="E34" s="228"/>
      <c r="F34" s="228"/>
      <c r="G34" s="228">
        <f t="shared" si="1"/>
        <v>-3000</v>
      </c>
      <c r="H34" s="227"/>
      <c r="I34" s="227"/>
    </row>
    <row r="35" spans="1:9" ht="6" customHeight="1">
      <c r="A35" s="226"/>
      <c r="B35" s="227"/>
      <c r="C35" s="228"/>
      <c r="D35" s="228"/>
      <c r="E35" s="228"/>
      <c r="F35" s="228"/>
      <c r="G35" s="228"/>
      <c r="H35" s="227"/>
      <c r="I35" s="227"/>
    </row>
    <row r="36" spans="1:9" ht="15" customHeight="1">
      <c r="A36" s="226" t="s">
        <v>372</v>
      </c>
      <c r="B36" s="227"/>
      <c r="C36" s="228">
        <f>'Compte d''exploitation période'!B18</f>
        <v>2800</v>
      </c>
      <c r="D36" s="228"/>
      <c r="E36" s="228">
        <v>1035</v>
      </c>
      <c r="F36" s="228"/>
      <c r="G36" s="228">
        <f t="shared" si="1"/>
        <v>-1765</v>
      </c>
      <c r="H36" s="227"/>
      <c r="I36" s="227"/>
    </row>
    <row r="37" spans="1:9" ht="6" customHeight="1">
      <c r="A37" s="226"/>
      <c r="B37" s="227"/>
      <c r="C37" s="228"/>
      <c r="D37" s="228"/>
      <c r="E37" s="228"/>
      <c r="F37" s="228"/>
      <c r="G37" s="228"/>
      <c r="H37" s="227"/>
      <c r="I37" s="227"/>
    </row>
    <row r="38" spans="1:9" ht="15" customHeight="1">
      <c r="A38" s="226" t="s">
        <v>110</v>
      </c>
      <c r="B38" s="227"/>
      <c r="C38" s="228">
        <f>'Compte d''exploitation période'!B27</f>
        <v>27166</v>
      </c>
      <c r="D38" s="228"/>
      <c r="E38" s="228">
        <v>701.7</v>
      </c>
      <c r="F38" s="228"/>
      <c r="G38" s="228">
        <f t="shared" si="1"/>
        <v>-26464.3</v>
      </c>
      <c r="H38" s="227"/>
      <c r="I38" s="227"/>
    </row>
    <row r="39" spans="1:9" ht="6" customHeight="1">
      <c r="A39" s="226"/>
      <c r="B39" s="227"/>
      <c r="C39" s="228"/>
      <c r="D39" s="228"/>
      <c r="E39" s="228"/>
      <c r="F39" s="228"/>
      <c r="G39" s="228"/>
      <c r="H39" s="227"/>
      <c r="I39" s="227"/>
    </row>
    <row r="40" spans="1:9" ht="15" customHeight="1">
      <c r="A40" s="226" t="s">
        <v>373</v>
      </c>
      <c r="B40" s="227"/>
      <c r="C40" s="228">
        <v>0</v>
      </c>
      <c r="D40" s="228"/>
      <c r="E40" s="228"/>
      <c r="F40" s="228"/>
      <c r="G40" s="228">
        <f t="shared" si="1"/>
        <v>0</v>
      </c>
      <c r="H40" s="227"/>
      <c r="I40" s="227"/>
    </row>
    <row r="41" spans="1:9" ht="6" customHeight="1">
      <c r="A41" s="226"/>
      <c r="B41" s="227"/>
      <c r="C41" s="228"/>
      <c r="D41" s="228"/>
      <c r="E41" s="228"/>
      <c r="F41" s="228"/>
      <c r="G41" s="228"/>
      <c r="H41" s="227"/>
      <c r="I41" s="227"/>
    </row>
    <row r="42" spans="1:9" ht="15" customHeight="1" thickBot="1">
      <c r="A42" s="232" t="s">
        <v>374</v>
      </c>
      <c r="B42" s="233"/>
      <c r="C42" s="234">
        <f>C10-C12-C14-C16-C18-C20-C22-C24-C26-C28-C30-C32-C34-C36-C38-C40</f>
        <v>80025.551253120007</v>
      </c>
      <c r="D42" s="235"/>
      <c r="E42" s="235">
        <f>E10-E12-E14-E16-E18-E20-E22-E24-E26-E28-E30-E32-E34-E36-E38-E40</f>
        <v>3232.2499999999991</v>
      </c>
      <c r="F42" s="235"/>
      <c r="G42" s="235">
        <f t="shared" si="1"/>
        <v>-76793.301253120007</v>
      </c>
      <c r="H42" s="233"/>
      <c r="I42" s="233"/>
    </row>
    <row r="43" spans="1:9" ht="13.3" thickTop="1">
      <c r="A43" s="236"/>
      <c r="B43" s="236"/>
    </row>
    <row r="44" spans="1:9">
      <c r="A44" s="236"/>
      <c r="B44" s="236"/>
    </row>
    <row r="45" spans="1:9">
      <c r="A45" s="236"/>
      <c r="B45" s="236"/>
      <c r="C45" s="237"/>
    </row>
    <row r="46" spans="1:9">
      <c r="A46" s="236"/>
      <c r="B46" s="236"/>
    </row>
    <row r="47" spans="1:9">
      <c r="A47" s="236"/>
      <c r="B47" s="236"/>
    </row>
    <row r="48" spans="1:9">
      <c r="B48" s="236"/>
    </row>
    <row r="49" spans="2:2">
      <c r="B49" s="236"/>
    </row>
    <row r="50" spans="2:2">
      <c r="B50" s="236"/>
    </row>
    <row r="51" spans="2:2">
      <c r="B51" s="236"/>
    </row>
    <row r="52" spans="2:2">
      <c r="B52" s="236"/>
    </row>
    <row r="53" spans="2:2">
      <c r="B53" s="236"/>
    </row>
    <row r="54" spans="2:2">
      <c r="B54" s="236"/>
    </row>
    <row r="55" spans="2:2">
      <c r="B55" s="236"/>
    </row>
    <row r="56" spans="2:2">
      <c r="B56" s="236"/>
    </row>
    <row r="57" spans="2:2">
      <c r="B57" s="236"/>
    </row>
    <row r="58" spans="2:2">
      <c r="B58" s="236"/>
    </row>
    <row r="59" spans="2:2">
      <c r="B59" s="236"/>
    </row>
    <row r="60" spans="2:2">
      <c r="B60" s="236"/>
    </row>
    <row r="61" spans="2:2">
      <c r="B61" s="236"/>
    </row>
    <row r="62" spans="2:2">
      <c r="B62" s="236"/>
    </row>
    <row r="63" spans="2:2">
      <c r="B63" s="236"/>
    </row>
    <row r="64" spans="2:2">
      <c r="B64" s="236"/>
    </row>
    <row r="65" spans="2:2">
      <c r="B65" s="236"/>
    </row>
    <row r="66" spans="2:2">
      <c r="B66" s="236"/>
    </row>
    <row r="67" spans="2:2">
      <c r="B67" s="236"/>
    </row>
    <row r="68" spans="2:2">
      <c r="B68" s="236"/>
    </row>
    <row r="69" spans="2:2">
      <c r="B69" s="236"/>
    </row>
    <row r="70" spans="2:2">
      <c r="B70" s="236"/>
    </row>
    <row r="71" spans="2:2">
      <c r="B71" s="236"/>
    </row>
    <row r="72" spans="2:2">
      <c r="B72" s="236"/>
    </row>
    <row r="73" spans="2:2">
      <c r="B73" s="236"/>
    </row>
    <row r="74" spans="2:2">
      <c r="B74" s="236"/>
    </row>
    <row r="75" spans="2:2">
      <c r="B75" s="236"/>
    </row>
    <row r="76" spans="2:2">
      <c r="B76" s="236"/>
    </row>
    <row r="77" spans="2:2">
      <c r="B77" s="236"/>
    </row>
    <row r="78" spans="2:2">
      <c r="B78" s="236"/>
    </row>
    <row r="79" spans="2:2">
      <c r="B79" s="236"/>
    </row>
    <row r="80" spans="2:2">
      <c r="B80" s="236"/>
    </row>
    <row r="81" spans="2:2">
      <c r="B81" s="236"/>
    </row>
    <row r="82" spans="2:2">
      <c r="B82" s="236"/>
    </row>
    <row r="83" spans="2:2">
      <c r="B83" s="236"/>
    </row>
    <row r="84" spans="2:2">
      <c r="B84" s="236"/>
    </row>
    <row r="85" spans="2:2">
      <c r="B85" s="236"/>
    </row>
    <row r="86" spans="2:2">
      <c r="B86" s="236"/>
    </row>
    <row r="87" spans="2:2">
      <c r="B87" s="236"/>
    </row>
    <row r="88" spans="2:2">
      <c r="B88" s="236"/>
    </row>
    <row r="89" spans="2:2">
      <c r="B89" s="236"/>
    </row>
    <row r="90" spans="2:2">
      <c r="B90" s="236"/>
    </row>
    <row r="91" spans="2:2">
      <c r="B91" s="236"/>
    </row>
    <row r="92" spans="2:2">
      <c r="B92" s="236"/>
    </row>
    <row r="93" spans="2:2">
      <c r="B93" s="236"/>
    </row>
    <row r="94" spans="2:2">
      <c r="B94" s="236"/>
    </row>
    <row r="95" spans="2:2">
      <c r="B95" s="236"/>
    </row>
    <row r="96" spans="2:2">
      <c r="B96" s="236"/>
    </row>
    <row r="97" spans="2:2">
      <c r="B97" s="236"/>
    </row>
    <row r="98" spans="2:2">
      <c r="B98" s="236"/>
    </row>
    <row r="99" spans="2:2">
      <c r="B99" s="236"/>
    </row>
    <row r="100" spans="2:2">
      <c r="B100" s="236"/>
    </row>
    <row r="101" spans="2:2">
      <c r="B101" s="236"/>
    </row>
    <row r="102" spans="2:2">
      <c r="B102" s="236"/>
    </row>
    <row r="103" spans="2:2">
      <c r="B103" s="236"/>
    </row>
    <row r="104" spans="2:2">
      <c r="B104" s="236"/>
    </row>
    <row r="105" spans="2:2">
      <c r="B105" s="236"/>
    </row>
    <row r="106" spans="2:2">
      <c r="B106" s="236"/>
    </row>
    <row r="107" spans="2:2">
      <c r="B107" s="236"/>
    </row>
    <row r="108" spans="2:2">
      <c r="B108" s="236"/>
    </row>
    <row r="109" spans="2:2">
      <c r="B109" s="236"/>
    </row>
    <row r="110" spans="2:2">
      <c r="B110" s="236"/>
    </row>
    <row r="111" spans="2:2">
      <c r="B111" s="236"/>
    </row>
    <row r="112" spans="2:2">
      <c r="B112" s="236"/>
    </row>
    <row r="113" spans="2:2">
      <c r="B113" s="236"/>
    </row>
    <row r="114" spans="2:2">
      <c r="B114" s="236"/>
    </row>
    <row r="115" spans="2:2">
      <c r="B115" s="236"/>
    </row>
    <row r="116" spans="2:2">
      <c r="B116" s="236"/>
    </row>
    <row r="117" spans="2:2">
      <c r="B117" s="236"/>
    </row>
    <row r="118" spans="2:2">
      <c r="B118" s="236"/>
    </row>
    <row r="119" spans="2:2">
      <c r="B119" s="236"/>
    </row>
    <row r="120" spans="2:2">
      <c r="B120" s="236"/>
    </row>
    <row r="121" spans="2:2">
      <c r="B121" s="236"/>
    </row>
    <row r="122" spans="2:2">
      <c r="B122" s="236"/>
    </row>
    <row r="123" spans="2:2">
      <c r="B123" s="236"/>
    </row>
    <row r="124" spans="2:2">
      <c r="B124" s="236"/>
    </row>
    <row r="125" spans="2:2">
      <c r="B125" s="236"/>
    </row>
    <row r="126" spans="2:2">
      <c r="B126" s="236"/>
    </row>
    <row r="127" spans="2:2">
      <c r="B127" s="236"/>
    </row>
  </sheetData>
  <dataConsolidate/>
  <mergeCells count="1">
    <mergeCell ref="A1:I1"/>
  </mergeCells>
  <printOptions horizontalCentered="1"/>
  <pageMargins left="0.78740157480314965" right="0.78740157480314965" top="0.51181102362204722" bottom="0.51181102362204722" header="0.51181102362204722" footer="0.51181102362204722"/>
  <pageSetup paperSize="9"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fitToPage="1"/>
  </sheetPr>
  <dimension ref="A1:I49"/>
  <sheetViews>
    <sheetView showZeros="0" topLeftCell="A19" workbookViewId="0">
      <selection activeCell="F44" sqref="F44:I44"/>
    </sheetView>
  </sheetViews>
  <sheetFormatPr baseColWidth="10" defaultColWidth="10.84375" defaultRowHeight="12.9"/>
  <cols>
    <col min="1" max="2" width="9.15234375" style="21" customWidth="1"/>
    <col min="3" max="3" width="11.15234375" style="21" customWidth="1"/>
    <col min="4" max="7" width="9.15234375" style="21" customWidth="1"/>
    <col min="8" max="8" width="4.3828125" style="21" customWidth="1"/>
    <col min="9" max="9" width="14.84375" style="21" customWidth="1"/>
    <col min="10" max="256" width="9.15234375" style="21" customWidth="1"/>
    <col min="257" max="16384" width="10.84375" style="21"/>
  </cols>
  <sheetData>
    <row r="1" spans="1:9" ht="42" customHeight="1">
      <c r="A1" s="300"/>
      <c r="B1" s="300"/>
      <c r="C1" s="300"/>
      <c r="D1" s="300"/>
      <c r="E1" s="300"/>
      <c r="F1" s="300"/>
      <c r="G1" s="300"/>
      <c r="H1" s="300"/>
      <c r="I1" s="300"/>
    </row>
    <row r="2" spans="1:9">
      <c r="A2" s="300"/>
      <c r="B2" s="300"/>
      <c r="C2" s="300"/>
      <c r="D2" s="300"/>
      <c r="E2" s="300"/>
      <c r="F2" s="300"/>
      <c r="G2" s="300"/>
      <c r="H2" s="300"/>
      <c r="I2" s="300"/>
    </row>
    <row r="3" spans="1:9" ht="27.75" customHeight="1">
      <c r="A3" s="300"/>
      <c r="B3" s="300"/>
      <c r="C3" s="300"/>
      <c r="D3" s="300"/>
      <c r="E3" s="300"/>
      <c r="F3" s="300"/>
      <c r="G3" s="300"/>
      <c r="H3" s="300"/>
      <c r="I3" s="300"/>
    </row>
    <row r="4" spans="1:9">
      <c r="A4" s="300"/>
      <c r="B4" s="300"/>
      <c r="C4" s="300"/>
      <c r="D4" s="300"/>
      <c r="E4" s="300"/>
      <c r="F4" s="300"/>
      <c r="G4" s="300"/>
      <c r="H4" s="300"/>
      <c r="I4" s="300"/>
    </row>
    <row r="5" spans="1:9">
      <c r="A5" s="300"/>
      <c r="B5" s="300"/>
      <c r="C5" s="300"/>
      <c r="D5" s="300"/>
      <c r="E5" s="300"/>
      <c r="F5" s="300"/>
      <c r="G5" s="300"/>
      <c r="H5" s="300"/>
      <c r="I5" s="300"/>
    </row>
    <row r="6" spans="1:9">
      <c r="A6" s="300"/>
      <c r="B6" s="300"/>
      <c r="C6" s="300"/>
      <c r="D6" s="300"/>
      <c r="E6" s="300"/>
      <c r="F6" s="300"/>
      <c r="G6" s="300"/>
      <c r="H6" s="300"/>
      <c r="I6" s="300"/>
    </row>
    <row r="7" spans="1:9" ht="12.65" customHeight="1">
      <c r="A7" s="300"/>
      <c r="B7" s="300"/>
      <c r="C7" s="300"/>
      <c r="D7" s="300"/>
      <c r="E7" s="300"/>
      <c r="F7" s="300"/>
      <c r="G7" s="300"/>
      <c r="H7" s="300"/>
      <c r="I7" s="300"/>
    </row>
    <row r="8" spans="1:9" ht="62.5" customHeight="1">
      <c r="A8" s="303" t="s">
        <v>341</v>
      </c>
      <c r="B8" s="303"/>
      <c r="C8" s="303"/>
      <c r="D8" s="303"/>
      <c r="E8" s="303"/>
      <c r="F8" s="303"/>
      <c r="G8" s="303"/>
      <c r="H8" s="303"/>
      <c r="I8" s="303"/>
    </row>
    <row r="9" spans="1:9" ht="12.75" customHeight="1">
      <c r="A9" s="300"/>
      <c r="B9" s="300"/>
      <c r="C9" s="300"/>
      <c r="D9" s="300"/>
      <c r="E9" s="300"/>
      <c r="F9" s="300"/>
      <c r="G9" s="300"/>
      <c r="H9" s="300"/>
      <c r="I9" s="300"/>
    </row>
    <row r="10" spans="1:9" ht="25.4" customHeight="1">
      <c r="A10" s="304" t="s">
        <v>93</v>
      </c>
      <c r="B10" s="304"/>
      <c r="C10" s="304"/>
      <c r="D10" s="304"/>
      <c r="E10" s="304"/>
      <c r="F10" s="304"/>
      <c r="G10" s="304"/>
      <c r="H10" s="304"/>
      <c r="I10" s="304"/>
    </row>
    <row r="11" spans="1:9" ht="12.75" customHeight="1">
      <c r="A11" s="300"/>
      <c r="B11" s="300"/>
      <c r="C11" s="300"/>
      <c r="D11" s="300"/>
      <c r="E11" s="300"/>
      <c r="F11" s="300"/>
      <c r="G11" s="300"/>
      <c r="H11" s="300"/>
      <c r="I11" s="300"/>
    </row>
    <row r="12" spans="1:9" ht="12.75" customHeight="1">
      <c r="A12" s="300"/>
      <c r="B12" s="300"/>
      <c r="C12" s="300"/>
      <c r="D12" s="300"/>
      <c r="E12" s="300"/>
      <c r="F12" s="300"/>
      <c r="G12" s="300"/>
      <c r="H12" s="300"/>
      <c r="I12" s="300"/>
    </row>
    <row r="13" spans="1:9" ht="12.75" customHeight="1">
      <c r="A13" s="300"/>
      <c r="B13" s="300"/>
      <c r="C13" s="300"/>
      <c r="D13" s="300"/>
      <c r="E13" s="300"/>
      <c r="F13" s="300"/>
      <c r="G13" s="300"/>
      <c r="H13" s="300"/>
      <c r="I13" s="300"/>
    </row>
    <row r="14" spans="1:9" ht="12.75" customHeight="1">
      <c r="A14" s="300"/>
      <c r="B14" s="300"/>
      <c r="C14" s="300"/>
      <c r="D14" s="300"/>
      <c r="E14" s="300"/>
      <c r="F14" s="300"/>
      <c r="G14" s="300"/>
      <c r="H14" s="300"/>
      <c r="I14" s="300"/>
    </row>
    <row r="15" spans="1:9" ht="12.75" customHeight="1">
      <c r="A15" s="300"/>
      <c r="B15" s="300"/>
      <c r="C15" s="300"/>
      <c r="D15" s="300"/>
      <c r="E15" s="300"/>
      <c r="F15" s="300"/>
      <c r="G15" s="300"/>
      <c r="H15" s="300"/>
      <c r="I15" s="300"/>
    </row>
    <row r="16" spans="1:9" ht="12.75" customHeight="1">
      <c r="A16" s="301" t="s">
        <v>381</v>
      </c>
      <c r="B16" s="301"/>
      <c r="C16" s="301"/>
      <c r="D16" s="301"/>
      <c r="E16" s="301"/>
      <c r="F16" s="301"/>
      <c r="G16" s="301"/>
      <c r="H16" s="301"/>
      <c r="I16" s="301"/>
    </row>
    <row r="17" spans="1:9">
      <c r="A17" s="301"/>
      <c r="B17" s="301"/>
      <c r="C17" s="301"/>
      <c r="D17" s="301"/>
      <c r="E17" s="301"/>
      <c r="F17" s="301"/>
      <c r="G17" s="301"/>
      <c r="H17" s="301"/>
      <c r="I17" s="301"/>
    </row>
    <row r="18" spans="1:9">
      <c r="A18" s="301"/>
      <c r="B18" s="301"/>
      <c r="C18" s="301"/>
      <c r="D18" s="301"/>
      <c r="E18" s="301"/>
      <c r="F18" s="301"/>
      <c r="G18" s="301"/>
      <c r="H18" s="301"/>
      <c r="I18" s="301"/>
    </row>
    <row r="19" spans="1:9">
      <c r="A19" s="301"/>
      <c r="B19" s="301"/>
      <c r="C19" s="301"/>
      <c r="D19" s="301"/>
      <c r="E19" s="301"/>
      <c r="F19" s="301"/>
      <c r="G19" s="301"/>
      <c r="H19" s="301"/>
      <c r="I19" s="301"/>
    </row>
    <row r="20" spans="1:9">
      <c r="A20" s="301"/>
      <c r="B20" s="301"/>
      <c r="C20" s="301"/>
      <c r="D20" s="301"/>
      <c r="E20" s="301"/>
      <c r="F20" s="301"/>
      <c r="G20" s="301"/>
      <c r="H20" s="301"/>
      <c r="I20" s="301"/>
    </row>
    <row r="21" spans="1:9">
      <c r="A21" s="300"/>
      <c r="B21" s="300"/>
      <c r="C21" s="300"/>
      <c r="D21" s="300"/>
      <c r="E21" s="300"/>
      <c r="F21" s="300"/>
      <c r="G21" s="300"/>
      <c r="H21" s="300"/>
      <c r="I21" s="300"/>
    </row>
    <row r="22" spans="1:9">
      <c r="A22" s="300"/>
      <c r="B22" s="300"/>
      <c r="C22" s="300"/>
      <c r="D22" s="300"/>
      <c r="E22" s="300"/>
      <c r="F22" s="300"/>
      <c r="G22" s="300"/>
      <c r="H22" s="300"/>
      <c r="I22" s="300"/>
    </row>
    <row r="23" spans="1:9">
      <c r="A23" s="300"/>
      <c r="B23" s="300"/>
      <c r="C23" s="300"/>
      <c r="D23" s="300"/>
      <c r="E23" s="300"/>
      <c r="F23" s="300"/>
      <c r="G23" s="300"/>
      <c r="H23" s="300"/>
      <c r="I23" s="300"/>
    </row>
    <row r="24" spans="1:9">
      <c r="A24" s="300"/>
      <c r="B24" s="300"/>
      <c r="C24" s="300"/>
      <c r="D24" s="300"/>
      <c r="E24" s="300"/>
      <c r="F24" s="300"/>
      <c r="G24" s="300"/>
      <c r="H24" s="300"/>
      <c r="I24" s="300"/>
    </row>
    <row r="25" spans="1:9">
      <c r="A25" s="300"/>
      <c r="B25" s="300"/>
      <c r="C25" s="300"/>
      <c r="D25" s="300"/>
      <c r="E25" s="300"/>
      <c r="F25" s="300"/>
      <c r="G25" s="300"/>
      <c r="H25" s="300"/>
      <c r="I25" s="300"/>
    </row>
    <row r="26" spans="1:9">
      <c r="A26" s="300"/>
      <c r="B26" s="300"/>
      <c r="C26" s="300"/>
      <c r="D26" s="300"/>
      <c r="E26" s="300"/>
      <c r="F26" s="300"/>
      <c r="G26" s="300"/>
      <c r="H26" s="300"/>
      <c r="I26" s="300"/>
    </row>
    <row r="27" spans="1:9">
      <c r="A27" s="300"/>
      <c r="B27" s="300"/>
      <c r="C27" s="300"/>
      <c r="D27" s="300"/>
      <c r="E27" s="300"/>
      <c r="F27" s="300"/>
      <c r="G27" s="300"/>
      <c r="H27" s="300"/>
      <c r="I27" s="300"/>
    </row>
    <row r="28" spans="1:9">
      <c r="A28" s="300"/>
      <c r="B28" s="300"/>
      <c r="C28" s="300"/>
      <c r="D28" s="300"/>
      <c r="E28" s="300"/>
      <c r="F28" s="300"/>
      <c r="G28" s="300"/>
      <c r="H28" s="300"/>
      <c r="I28" s="300"/>
    </row>
    <row r="29" spans="1:9">
      <c r="A29" s="300"/>
      <c r="B29" s="300"/>
      <c r="C29" s="300"/>
      <c r="D29" s="300"/>
      <c r="E29" s="300"/>
      <c r="F29" s="300"/>
      <c r="G29" s="300"/>
      <c r="H29" s="300"/>
      <c r="I29" s="300"/>
    </row>
    <row r="30" spans="1:9">
      <c r="A30" s="300"/>
      <c r="B30" s="300"/>
      <c r="C30" s="300"/>
      <c r="D30" s="300"/>
      <c r="E30" s="300"/>
      <c r="F30" s="300"/>
      <c r="G30" s="300"/>
      <c r="H30" s="300"/>
      <c r="I30" s="300"/>
    </row>
    <row r="31" spans="1:9">
      <c r="A31" s="300"/>
      <c r="B31" s="300"/>
      <c r="C31" s="300"/>
      <c r="D31" s="300"/>
      <c r="E31" s="300"/>
      <c r="F31" s="300"/>
      <c r="G31" s="300"/>
      <c r="H31" s="300"/>
      <c r="I31" s="300"/>
    </row>
    <row r="32" spans="1:9">
      <c r="A32" s="300"/>
      <c r="B32" s="300"/>
      <c r="C32" s="300"/>
      <c r="D32" s="300"/>
      <c r="E32" s="300"/>
      <c r="F32" s="300"/>
      <c r="G32" s="300"/>
      <c r="H32" s="300"/>
      <c r="I32" s="300"/>
    </row>
    <row r="33" spans="1:9">
      <c r="A33" s="300"/>
      <c r="B33" s="300"/>
      <c r="C33" s="300"/>
      <c r="D33" s="300"/>
      <c r="E33" s="300"/>
      <c r="F33" s="300"/>
      <c r="G33" s="300"/>
      <c r="H33" s="300"/>
      <c r="I33" s="300"/>
    </row>
    <row r="34" spans="1:9">
      <c r="A34" s="300"/>
      <c r="B34" s="300"/>
      <c r="C34" s="300"/>
      <c r="D34" s="300"/>
      <c r="E34" s="300"/>
      <c r="F34" s="300"/>
      <c r="G34" s="300"/>
      <c r="H34" s="300"/>
      <c r="I34" s="300"/>
    </row>
    <row r="35" spans="1:9">
      <c r="A35" s="300"/>
      <c r="B35" s="300"/>
      <c r="C35" s="300"/>
      <c r="D35" s="300"/>
      <c r="E35" s="300"/>
      <c r="F35" s="300"/>
      <c r="G35" s="300"/>
      <c r="H35" s="300"/>
      <c r="I35" s="300"/>
    </row>
    <row r="36" spans="1:9">
      <c r="A36" s="300"/>
      <c r="B36" s="300"/>
      <c r="C36" s="300"/>
      <c r="D36" s="300"/>
      <c r="E36" s="300"/>
      <c r="F36" s="300"/>
      <c r="G36" s="300"/>
      <c r="H36" s="300"/>
      <c r="I36" s="300"/>
    </row>
    <row r="37" spans="1:9">
      <c r="A37" s="300"/>
      <c r="B37" s="300"/>
      <c r="C37" s="300"/>
      <c r="D37" s="300"/>
      <c r="E37" s="300"/>
      <c r="F37" s="300"/>
      <c r="G37" s="300"/>
      <c r="H37" s="300"/>
      <c r="I37" s="300"/>
    </row>
    <row r="38" spans="1:9">
      <c r="A38" s="300"/>
      <c r="B38" s="300"/>
      <c r="C38" s="300"/>
      <c r="D38" s="300"/>
      <c r="E38" s="300"/>
      <c r="F38" s="300"/>
      <c r="G38" s="300"/>
      <c r="H38" s="300"/>
      <c r="I38" s="300"/>
    </row>
    <row r="39" spans="1:9">
      <c r="A39" s="300"/>
      <c r="B39" s="300"/>
      <c r="C39" s="300"/>
      <c r="D39" s="300"/>
      <c r="E39" s="300"/>
      <c r="F39" s="300"/>
      <c r="G39" s="300"/>
      <c r="H39" s="300"/>
      <c r="I39" s="300"/>
    </row>
    <row r="40" spans="1:9">
      <c r="A40" s="300"/>
      <c r="B40" s="300"/>
      <c r="C40" s="300"/>
      <c r="D40" s="300"/>
      <c r="E40" s="300"/>
      <c r="F40" s="300"/>
      <c r="G40" s="300"/>
      <c r="H40" s="300"/>
      <c r="I40" s="300"/>
    </row>
    <row r="41" spans="1:9">
      <c r="A41" s="300"/>
      <c r="B41" s="300"/>
      <c r="C41" s="300"/>
      <c r="D41" s="300"/>
      <c r="E41" s="300"/>
      <c r="F41" s="300"/>
      <c r="G41" s="300"/>
      <c r="H41" s="300"/>
      <c r="I41" s="300"/>
    </row>
    <row r="42" spans="1:9">
      <c r="A42" s="300"/>
      <c r="B42" s="300"/>
      <c r="C42" s="300"/>
      <c r="D42" s="300"/>
      <c r="E42" s="300"/>
      <c r="F42" s="300"/>
      <c r="G42" s="300"/>
      <c r="H42" s="300"/>
      <c r="I42" s="300"/>
    </row>
    <row r="43" spans="1:9">
      <c r="A43" s="300"/>
      <c r="B43" s="300"/>
      <c r="C43" s="300"/>
      <c r="D43" s="300"/>
      <c r="E43" s="300"/>
      <c r="F43" s="300"/>
      <c r="G43" s="300"/>
      <c r="H43" s="300"/>
      <c r="I43" s="300"/>
    </row>
    <row r="44" spans="1:9" ht="15.45">
      <c r="A44" s="300"/>
      <c r="B44" s="300"/>
      <c r="C44" s="300"/>
      <c r="D44" s="300"/>
      <c r="E44" s="300"/>
      <c r="F44" s="302" t="s">
        <v>382</v>
      </c>
      <c r="G44" s="302"/>
      <c r="H44" s="302"/>
      <c r="I44" s="302"/>
    </row>
    <row r="45" spans="1:9" ht="15.45">
      <c r="A45" s="300"/>
      <c r="B45" s="300"/>
      <c r="C45" s="300"/>
      <c r="D45" s="300"/>
      <c r="E45" s="300"/>
      <c r="F45" s="302" t="s">
        <v>383</v>
      </c>
      <c r="G45" s="302"/>
      <c r="H45" s="302"/>
      <c r="I45" s="302"/>
    </row>
    <row r="46" spans="1:9" ht="15.45">
      <c r="A46" s="300"/>
      <c r="B46" s="300"/>
      <c r="C46" s="300"/>
      <c r="D46" s="300"/>
      <c r="E46" s="300"/>
      <c r="F46" s="302" t="str">
        <f>Informations!B7</f>
        <v>2000 Neuchâtel</v>
      </c>
      <c r="G46" s="302"/>
      <c r="H46" s="302"/>
      <c r="I46" s="302"/>
    </row>
    <row r="47" spans="1:9" ht="15.65" customHeight="1">
      <c r="A47" s="300"/>
      <c r="B47" s="300"/>
      <c r="C47" s="300"/>
      <c r="D47" s="300"/>
      <c r="E47" s="300"/>
      <c r="F47" s="300"/>
      <c r="G47" s="300"/>
      <c r="H47" s="300"/>
      <c r="I47" s="300"/>
    </row>
    <row r="48" spans="1:9" ht="15.45">
      <c r="A48" s="300"/>
      <c r="B48" s="300"/>
      <c r="C48" s="300"/>
      <c r="D48" s="300"/>
      <c r="E48" s="300"/>
      <c r="F48" s="302" t="s">
        <v>384</v>
      </c>
      <c r="G48" s="302"/>
      <c r="H48" s="302"/>
      <c r="I48" s="302"/>
    </row>
    <row r="49" spans="1:9" ht="15.45">
      <c r="A49" s="22" t="s">
        <v>304</v>
      </c>
      <c r="B49" s="22"/>
      <c r="C49" s="218">
        <v>44802</v>
      </c>
      <c r="D49" s="305"/>
      <c r="E49" s="305"/>
      <c r="F49" s="302" t="s">
        <v>384</v>
      </c>
      <c r="G49" s="302"/>
      <c r="H49" s="302"/>
      <c r="I49" s="302"/>
    </row>
  </sheetData>
  <mergeCells count="16">
    <mergeCell ref="F48:I48"/>
    <mergeCell ref="F49:I49"/>
    <mergeCell ref="A8:I8"/>
    <mergeCell ref="A10:I10"/>
    <mergeCell ref="F44:I44"/>
    <mergeCell ref="F45:I45"/>
    <mergeCell ref="A21:I43"/>
    <mergeCell ref="A47:I47"/>
    <mergeCell ref="A48:E48"/>
    <mergeCell ref="D49:E49"/>
    <mergeCell ref="A44:E46"/>
    <mergeCell ref="A1:I7"/>
    <mergeCell ref="A9:I9"/>
    <mergeCell ref="A11:I15"/>
    <mergeCell ref="A16:I20"/>
    <mergeCell ref="F46:I46"/>
  </mergeCells>
  <phoneticPr fontId="6" type="noConversion"/>
  <pageMargins left="0.78740157480314965" right="0.78740157480314965" top="0.98425196850393704" bottom="0.59055118110236227" header="0.51181102362204722" footer="0.51181102362204722"/>
  <pageSetup paperSize="9" orientation="portrait" r:id="rId1"/>
  <headerFooter scaleWithDoc="0" alignWithMargins="0"/>
  <drawing r:id="rId2"/>
  <legacyDrawing r:id="rId3"/>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pageSetUpPr fitToPage="1"/>
  </sheetPr>
  <dimension ref="A1:E34"/>
  <sheetViews>
    <sheetView showZeros="0" zoomScale="90" workbookViewId="0">
      <selection activeCell="G5" sqref="G5"/>
    </sheetView>
  </sheetViews>
  <sheetFormatPr baseColWidth="10" defaultRowHeight="12.45"/>
  <cols>
    <col min="1" max="1" width="48.84375" bestFit="1" customWidth="1"/>
    <col min="2" max="3" width="18.3828125" customWidth="1"/>
    <col min="4" max="256" width="9.15234375" customWidth="1"/>
  </cols>
  <sheetData>
    <row r="1" spans="1:5" ht="36" customHeight="1">
      <c r="A1" s="462" t="s">
        <v>260</v>
      </c>
      <c r="B1" s="462"/>
      <c r="C1" s="462"/>
      <c r="D1" s="3"/>
      <c r="E1" s="3"/>
    </row>
    <row r="2" spans="1:5">
      <c r="A2" s="1"/>
      <c r="B2" s="2"/>
    </row>
    <row r="3" spans="1:5">
      <c r="A3" s="207" t="s">
        <v>279</v>
      </c>
      <c r="B3" s="208" t="s">
        <v>280</v>
      </c>
      <c r="C3" s="208" t="s">
        <v>281</v>
      </c>
    </row>
    <row r="4" spans="1:5">
      <c r="A4" s="215" t="s">
        <v>178</v>
      </c>
      <c r="B4" s="216"/>
      <c r="C4" s="216"/>
    </row>
    <row r="5" spans="1:5" ht="41.25" customHeight="1">
      <c r="A5" s="209" t="s">
        <v>179</v>
      </c>
      <c r="B5" s="210">
        <f>IF('Bilan initial'!B19=0,0,'Bilan initial'!B34/'Bilan initial'!B19)</f>
        <v>-0.45337520438088813</v>
      </c>
      <c r="C5" s="210" t="e">
        <f>IF(#REF!=0,0,#REF!/#REF!)</f>
        <v>#REF!</v>
      </c>
    </row>
    <row r="6" spans="1:5" ht="41.25" customHeight="1">
      <c r="A6" s="209" t="s">
        <v>180</v>
      </c>
      <c r="B6" s="210">
        <f>1-B5</f>
        <v>1.4533752043808881</v>
      </c>
      <c r="C6" s="210" t="e">
        <f>1-C5</f>
        <v>#REF!</v>
      </c>
    </row>
    <row r="7" spans="1:5" ht="41.25" customHeight="1">
      <c r="A7" s="209" t="s">
        <v>3</v>
      </c>
      <c r="B7" s="210">
        <f>IF('Bilan initial'!B17=0,0,'Bilan initial'!B34/'Bilan initial'!B17)</f>
        <v>-0.46378696968087929</v>
      </c>
      <c r="C7" s="210" t="e">
        <f>IF(#REF!=0,0,#REF!/#REF!)</f>
        <v>#REF!</v>
      </c>
    </row>
    <row r="8" spans="1:5" ht="41.25" customHeight="1">
      <c r="A8" s="209" t="s">
        <v>4</v>
      </c>
      <c r="B8" s="210">
        <f>IF('Bilan initial'!B17=0,0,('Bilan initial'!B34+'Bilan initial'!B30)/'Bilan initial'!B17)</f>
        <v>0.59817872882705891</v>
      </c>
      <c r="C8" s="210" t="e">
        <f>IF(#REF!=0,0,(#REF!+#REF!)/#REF!)</f>
        <v>#REF!</v>
      </c>
    </row>
    <row r="9" spans="1:5" ht="41.25" customHeight="1">
      <c r="A9" s="209" t="s">
        <v>5</v>
      </c>
      <c r="B9" s="210">
        <f>IF(('Bilan initial'!B17+'Bilan initial'!B7)=0,0,('Bilan initial'!B34+'Bilan initial'!B30)/('Bilan initial'!B17+'Bilan initial'!B7))</f>
        <v>0.59817872882705891</v>
      </c>
      <c r="C9" s="210" t="e">
        <f>IF((#REF!+#REF!)=0,0,(#REF!+#REF!)/(#REF!+#REF!))</f>
        <v>#REF!</v>
      </c>
    </row>
    <row r="10" spans="1:5">
      <c r="A10" s="209"/>
      <c r="B10" s="211"/>
      <c r="C10" s="212"/>
    </row>
    <row r="11" spans="1:5">
      <c r="A11" s="463" t="s">
        <v>181</v>
      </c>
      <c r="B11" s="463"/>
      <c r="C11" s="463"/>
    </row>
    <row r="12" spans="1:5" ht="21.75" customHeight="1">
      <c r="A12" s="209" t="s">
        <v>182</v>
      </c>
      <c r="B12" s="210">
        <f>IF('Bilan initial'!B25=0,"-",('Bilan initial'!B5)/'Bilan initial'!B25)</f>
        <v>7.1875000000000003E-3</v>
      </c>
      <c r="C12" s="210" t="e">
        <f>IF(#REF!=0,"-",(#REF!)/#REF!)</f>
        <v>#REF!</v>
      </c>
    </row>
    <row r="13" spans="1:5" ht="21.75" customHeight="1">
      <c r="A13" s="209" t="s">
        <v>183</v>
      </c>
      <c r="B13" s="210">
        <f>IF('Bilan initial'!B25=0,"-",('Bilan initial'!B5+'Bilan initial'!B6)/'Bilan initial'!B25)</f>
        <v>5.4062499999999999E-2</v>
      </c>
      <c r="C13" s="210" t="e">
        <f>IF(#REF!=0,"-",(#REF!+#REF!)/#REF!)</f>
        <v>#REF!</v>
      </c>
    </row>
    <row r="14" spans="1:5" ht="21.75" customHeight="1">
      <c r="A14" s="209" t="s">
        <v>184</v>
      </c>
      <c r="B14" s="210">
        <f>IF('Bilan initial'!B25=0,"-",'Bilan initial'!B8/'Bilan initial'!B25)</f>
        <v>5.4062499999999999E-2</v>
      </c>
      <c r="C14" s="210" t="e">
        <f>IF(#REF!=0,"-",#REF!/#REF!)</f>
        <v>#REF!</v>
      </c>
    </row>
    <row r="15" spans="1:5">
      <c r="A15" s="209"/>
      <c r="B15" s="210"/>
      <c r="C15" s="212"/>
    </row>
    <row r="16" spans="1:5">
      <c r="A16" s="463" t="s">
        <v>81</v>
      </c>
      <c r="B16" s="463"/>
      <c r="C16" s="463"/>
    </row>
    <row r="17" spans="1:3" ht="21.75" customHeight="1">
      <c r="A17" s="213" t="s">
        <v>79</v>
      </c>
      <c r="B17" s="464">
        <f>IF('Compte d''exploitation période'!K1=0,0,('Compte d''exploitation période'!B28/'Compte d''exploitation période'!K1)*3)</f>
        <v>55366.8</v>
      </c>
      <c r="C17" s="464"/>
    </row>
    <row r="18" spans="1:3" ht="21.75" customHeight="1">
      <c r="A18" s="213" t="s">
        <v>80</v>
      </c>
      <c r="B18" s="464">
        <f>'Bilan initial'!B5</f>
        <v>230</v>
      </c>
      <c r="C18" s="464"/>
    </row>
    <row r="19" spans="1:3" ht="21.75" customHeight="1">
      <c r="A19" s="214" t="s">
        <v>282</v>
      </c>
      <c r="B19" s="467">
        <f>B17-B18</f>
        <v>55136.800000000003</v>
      </c>
      <c r="C19" s="467"/>
    </row>
    <row r="20" spans="1:3">
      <c r="A20" s="212"/>
      <c r="B20" s="212"/>
      <c r="C20" s="212"/>
    </row>
    <row r="21" spans="1:3">
      <c r="A21" s="463" t="s">
        <v>186</v>
      </c>
      <c r="B21" s="463"/>
      <c r="C21" s="463"/>
    </row>
    <row r="22" spans="1:3" ht="21.75" customHeight="1">
      <c r="A22" s="209" t="s">
        <v>0</v>
      </c>
      <c r="B22" s="464">
        <f>'Compte d''exploitation période'!B4</f>
        <v>423360</v>
      </c>
      <c r="C22" s="464"/>
    </row>
    <row r="23" spans="1:3" ht="21.75" customHeight="1">
      <c r="A23" s="209" t="s">
        <v>1</v>
      </c>
      <c r="B23" s="464">
        <f>IF('Compte d''exploitation période'!K1=0,0,B22/'Compte d''exploitation période'!K1)</f>
        <v>35280</v>
      </c>
      <c r="C23" s="464"/>
    </row>
    <row r="24" spans="1:3" ht="21.75" customHeight="1">
      <c r="A24" s="209" t="s">
        <v>2</v>
      </c>
      <c r="B24" s="464">
        <f>'Compte d''exploitation période'!B34:C34</f>
        <v>944.98740917794976</v>
      </c>
      <c r="C24" s="464"/>
    </row>
    <row r="25" spans="1:3" ht="21.75" customHeight="1">
      <c r="A25" s="209" t="s">
        <v>185</v>
      </c>
      <c r="B25" s="466">
        <f>IF('Bilan initial'!B34=0,0,'Compte d''exploitation période'!B29/'Bilan initial'!B34)</f>
        <v>-1.4509342126051847</v>
      </c>
      <c r="C25" s="466"/>
    </row>
    <row r="26" spans="1:3" ht="21.75" customHeight="1">
      <c r="A26" s="209" t="s">
        <v>186</v>
      </c>
      <c r="B26" s="466">
        <f>IF('Bilan initial'!B19=0,0,('Compte d''exploitation période'!B29+'Compte d''exploitation période'!B26)/'Bilan initial'!B19)</f>
        <v>0.69415197529262085</v>
      </c>
      <c r="C26" s="466"/>
    </row>
    <row r="27" spans="1:3" ht="21.75" customHeight="1">
      <c r="A27" s="209" t="s">
        <v>278</v>
      </c>
      <c r="B27" s="466">
        <f>'Compte d''exploitation période'!B8/100</f>
        <v>0.6428569999999999</v>
      </c>
      <c r="C27" s="466"/>
    </row>
    <row r="28" spans="1:3" ht="21.75" customHeight="1">
      <c r="A28" s="209" t="s">
        <v>242</v>
      </c>
      <c r="B28" s="466">
        <f>IF('Compte d''exploitation période'!B4=0,0,('Compte d''exploitation période'!B29+'Compte d''exploitation période'!B27)/'Compte d''exploitation période'!B4)</f>
        <v>0.1839066976568404</v>
      </c>
      <c r="C28" s="466"/>
    </row>
    <row r="30" spans="1:3">
      <c r="A30" s="468" t="s">
        <v>261</v>
      </c>
      <c r="B30" s="469"/>
      <c r="C30" s="470"/>
    </row>
    <row r="31" spans="1:3">
      <c r="A31" s="465"/>
      <c r="B31" s="465"/>
      <c r="C31" s="465"/>
    </row>
    <row r="32" spans="1:3">
      <c r="A32" s="465"/>
      <c r="B32" s="465"/>
      <c r="C32" s="465"/>
    </row>
    <row r="33" spans="1:3">
      <c r="A33" s="465"/>
      <c r="B33" s="465"/>
      <c r="C33" s="465"/>
    </row>
    <row r="34" spans="1:3">
      <c r="A34" s="465"/>
      <c r="B34" s="465"/>
      <c r="C34" s="465"/>
    </row>
  </sheetData>
  <sheetProtection algorithmName="SHA-512" hashValue="/6oF0TyXzoH82upLJsQOS9jz1teZGVwrFwFiuAe9UkmSjg7cwgJrkAFyGqAp2NCW499dOVhYn9SEDcQPZpRA4Q==" saltValue="YaXNBy38/E9lM4kBwXs0ig==" spinCount="100000" sheet="1" objects="1" scenarios="1"/>
  <mergeCells count="16">
    <mergeCell ref="A1:C1"/>
    <mergeCell ref="A11:C11"/>
    <mergeCell ref="A16:C16"/>
    <mergeCell ref="B17:C17"/>
    <mergeCell ref="A31:C34"/>
    <mergeCell ref="B26:C26"/>
    <mergeCell ref="B27:C27"/>
    <mergeCell ref="B28:C28"/>
    <mergeCell ref="B18:C18"/>
    <mergeCell ref="B19:C19"/>
    <mergeCell ref="A21:C21"/>
    <mergeCell ref="A30:C30"/>
    <mergeCell ref="B25:C25"/>
    <mergeCell ref="B22:C22"/>
    <mergeCell ref="B23:C23"/>
    <mergeCell ref="B24:C24"/>
  </mergeCells>
  <phoneticPr fontId="6" type="noConversion"/>
  <pageMargins left="0.78740157480314965" right="0.78740157480314965" top="0.98425196850393704" bottom="0.78740157480314965" header="0.51181102362204722" footer="0.39370078740157483"/>
  <pageSetup paperSize="9" orientation="portrait"/>
  <headerFooter scaleWithDoc="0"/>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0"/>
    <pageSetUpPr fitToPage="1"/>
  </sheetPr>
  <dimension ref="A1:I35"/>
  <sheetViews>
    <sheetView workbookViewId="0">
      <selection activeCell="A9" sqref="A9:I9"/>
    </sheetView>
  </sheetViews>
  <sheetFormatPr baseColWidth="10" defaultColWidth="10.84375" defaultRowHeight="12.9"/>
  <cols>
    <col min="1" max="8" width="9.15234375" style="18" customWidth="1"/>
    <col min="9" max="9" width="13.3828125" style="18" customWidth="1"/>
    <col min="10" max="256" width="9.15234375" style="18" customWidth="1"/>
    <col min="257" max="16384" width="10.84375" style="18"/>
  </cols>
  <sheetData>
    <row r="1" spans="1:9" ht="36" customHeight="1">
      <c r="A1" s="307" t="s">
        <v>161</v>
      </c>
      <c r="B1" s="307"/>
      <c r="C1" s="307"/>
      <c r="D1" s="307"/>
      <c r="E1" s="307"/>
      <c r="F1" s="307"/>
      <c r="G1" s="307"/>
      <c r="H1" s="307"/>
      <c r="I1" s="307"/>
    </row>
    <row r="2" spans="1:9">
      <c r="A2" s="23"/>
      <c r="B2" s="23"/>
      <c r="C2" s="23"/>
      <c r="D2" s="23"/>
      <c r="E2" s="23"/>
      <c r="F2" s="23"/>
      <c r="G2" s="23"/>
      <c r="H2" s="23"/>
      <c r="I2" s="23"/>
    </row>
    <row r="3" spans="1:9" ht="18">
      <c r="A3" s="306" t="s">
        <v>342</v>
      </c>
      <c r="B3" s="306"/>
      <c r="C3" s="306"/>
      <c r="D3" s="306"/>
      <c r="E3" s="306"/>
      <c r="F3" s="306"/>
      <c r="G3" s="306"/>
      <c r="H3" s="306"/>
      <c r="I3" s="306"/>
    </row>
    <row r="4" spans="1:9" ht="18" customHeight="1">
      <c r="A4" s="23"/>
      <c r="B4" s="23"/>
      <c r="C4" s="23"/>
      <c r="D4" s="23"/>
      <c r="E4" s="23"/>
      <c r="F4" s="23"/>
      <c r="G4" s="23"/>
      <c r="H4" s="23"/>
      <c r="I4" s="23"/>
    </row>
    <row r="5" spans="1:9" ht="18">
      <c r="A5" s="306" t="s">
        <v>271</v>
      </c>
      <c r="B5" s="306"/>
      <c r="C5" s="306"/>
      <c r="D5" s="306"/>
      <c r="E5" s="306"/>
      <c r="F5" s="306"/>
      <c r="G5" s="306"/>
      <c r="H5" s="306"/>
      <c r="I5" s="306"/>
    </row>
    <row r="6" spans="1:9" ht="18" customHeight="1">
      <c r="A6" s="23"/>
      <c r="B6" s="23"/>
      <c r="C6" s="23"/>
      <c r="D6" s="23"/>
      <c r="E6" s="23"/>
      <c r="F6" s="23"/>
      <c r="G6" s="23"/>
      <c r="H6" s="23"/>
      <c r="I6" s="23"/>
    </row>
    <row r="7" spans="1:9" ht="18">
      <c r="A7" s="306" t="s">
        <v>262</v>
      </c>
      <c r="B7" s="306"/>
      <c r="C7" s="306"/>
      <c r="D7" s="306"/>
      <c r="E7" s="306"/>
      <c r="F7" s="306"/>
      <c r="G7" s="306"/>
      <c r="H7" s="306"/>
      <c r="I7" s="306"/>
    </row>
    <row r="8" spans="1:9" ht="18" customHeight="1">
      <c r="A8" s="23"/>
      <c r="B8" s="23"/>
      <c r="C8" s="23"/>
      <c r="D8" s="23"/>
      <c r="E8" s="23"/>
      <c r="F8" s="23"/>
      <c r="G8" s="23"/>
      <c r="H8" s="23"/>
      <c r="I8" s="23"/>
    </row>
    <row r="9" spans="1:9" ht="18">
      <c r="A9" s="306" t="s">
        <v>252</v>
      </c>
      <c r="B9" s="306"/>
      <c r="C9" s="306"/>
      <c r="D9" s="306"/>
      <c r="E9" s="306"/>
      <c r="F9" s="306"/>
      <c r="G9" s="306"/>
      <c r="H9" s="306"/>
      <c r="I9" s="306"/>
    </row>
    <row r="10" spans="1:9" ht="18" customHeight="1">
      <c r="A10" s="24"/>
      <c r="B10" s="23"/>
      <c r="C10" s="23"/>
      <c r="D10" s="23"/>
      <c r="E10" s="23"/>
      <c r="F10" s="23"/>
      <c r="G10" s="23"/>
      <c r="H10" s="23"/>
      <c r="I10" s="23"/>
    </row>
    <row r="11" spans="1:9" ht="18">
      <c r="A11" s="306" t="s">
        <v>253</v>
      </c>
      <c r="B11" s="306"/>
      <c r="C11" s="306"/>
      <c r="D11" s="306"/>
      <c r="E11" s="306"/>
      <c r="F11" s="306"/>
      <c r="G11" s="306"/>
      <c r="H11" s="306"/>
      <c r="I11" s="306"/>
    </row>
    <row r="12" spans="1:9" ht="18" customHeight="1">
      <c r="A12" s="24"/>
      <c r="B12" s="23"/>
      <c r="C12" s="23"/>
      <c r="D12" s="23"/>
      <c r="E12" s="23"/>
      <c r="F12" s="23"/>
      <c r="G12" s="23"/>
      <c r="H12" s="23"/>
      <c r="I12" s="23"/>
    </row>
    <row r="13" spans="1:9" ht="18">
      <c r="A13" s="306" t="s">
        <v>254</v>
      </c>
      <c r="B13" s="306"/>
      <c r="C13" s="306"/>
      <c r="D13" s="306"/>
      <c r="E13" s="306"/>
      <c r="F13" s="306"/>
      <c r="G13" s="306"/>
      <c r="H13" s="306"/>
      <c r="I13" s="306"/>
    </row>
    <row r="14" spans="1:9" ht="18" customHeight="1">
      <c r="A14" s="24"/>
      <c r="B14" s="23"/>
      <c r="C14" s="23"/>
      <c r="D14" s="23"/>
      <c r="E14" s="23"/>
      <c r="F14" s="23"/>
      <c r="G14" s="23"/>
      <c r="H14" s="23"/>
      <c r="I14" s="23"/>
    </row>
    <row r="15" spans="1:9" ht="18">
      <c r="A15" s="306" t="s">
        <v>263</v>
      </c>
      <c r="B15" s="306"/>
      <c r="C15" s="306"/>
      <c r="D15" s="306"/>
      <c r="E15" s="306"/>
      <c r="F15" s="306"/>
      <c r="G15" s="306"/>
      <c r="H15" s="306"/>
      <c r="I15" s="306"/>
    </row>
    <row r="16" spans="1:9" ht="18" customHeight="1">
      <c r="A16" s="24"/>
      <c r="B16" s="23"/>
      <c r="C16" s="23"/>
      <c r="D16" s="23"/>
      <c r="E16" s="23"/>
      <c r="F16" s="23"/>
      <c r="G16" s="23"/>
      <c r="H16" s="23"/>
      <c r="I16" s="23"/>
    </row>
    <row r="17" spans="1:9" ht="18">
      <c r="A17" s="306" t="s">
        <v>264</v>
      </c>
      <c r="B17" s="306"/>
      <c r="C17" s="306"/>
      <c r="D17" s="306"/>
      <c r="E17" s="306"/>
      <c r="F17" s="306"/>
      <c r="G17" s="306"/>
      <c r="H17" s="306"/>
      <c r="I17" s="306"/>
    </row>
    <row r="18" spans="1:9" ht="18" customHeight="1">
      <c r="A18" s="24"/>
      <c r="B18" s="23"/>
      <c r="C18" s="23"/>
      <c r="D18" s="23"/>
      <c r="E18" s="23"/>
      <c r="F18" s="23"/>
      <c r="G18" s="23"/>
      <c r="H18" s="23"/>
      <c r="I18" s="23"/>
    </row>
    <row r="19" spans="1:9" ht="18">
      <c r="A19" s="306" t="s">
        <v>265</v>
      </c>
      <c r="B19" s="306"/>
      <c r="C19" s="306"/>
      <c r="D19" s="306"/>
      <c r="E19" s="306"/>
      <c r="F19" s="306"/>
      <c r="G19" s="306"/>
      <c r="H19" s="306"/>
      <c r="I19" s="306"/>
    </row>
    <row r="20" spans="1:9" ht="18" customHeight="1">
      <c r="A20" s="24"/>
      <c r="B20" s="23"/>
      <c r="C20" s="23"/>
      <c r="D20" s="23"/>
      <c r="E20" s="23"/>
      <c r="F20" s="23"/>
      <c r="G20" s="23"/>
      <c r="H20" s="23"/>
      <c r="I20" s="23"/>
    </row>
    <row r="21" spans="1:9" ht="18">
      <c r="A21" s="306" t="s">
        <v>266</v>
      </c>
      <c r="B21" s="306"/>
      <c r="C21" s="306"/>
      <c r="D21" s="306"/>
      <c r="E21" s="306"/>
      <c r="F21" s="306"/>
      <c r="G21" s="306"/>
      <c r="H21" s="306"/>
      <c r="I21" s="306"/>
    </row>
    <row r="22" spans="1:9" ht="18" customHeight="1">
      <c r="A22" s="24"/>
      <c r="B22" s="23"/>
      <c r="C22" s="23"/>
      <c r="D22" s="23"/>
      <c r="E22" s="23"/>
      <c r="F22" s="23"/>
      <c r="G22" s="23"/>
      <c r="H22" s="23"/>
      <c r="I22" s="23"/>
    </row>
    <row r="23" spans="1:9" ht="18">
      <c r="A23" s="306" t="s">
        <v>257</v>
      </c>
      <c r="B23" s="306"/>
      <c r="C23" s="306"/>
      <c r="D23" s="306"/>
      <c r="E23" s="306"/>
      <c r="F23" s="306"/>
      <c r="G23" s="306"/>
      <c r="H23" s="306"/>
      <c r="I23" s="306"/>
    </row>
    <row r="24" spans="1:9" ht="18" customHeight="1">
      <c r="A24" s="24"/>
      <c r="B24" s="23"/>
      <c r="C24" s="23"/>
      <c r="D24" s="23"/>
      <c r="E24" s="23"/>
      <c r="F24" s="23"/>
      <c r="G24" s="23"/>
      <c r="H24" s="23"/>
      <c r="I24" s="23"/>
    </row>
    <row r="25" spans="1:9" ht="18">
      <c r="A25" s="306" t="s">
        <v>267</v>
      </c>
      <c r="B25" s="306"/>
      <c r="C25" s="306"/>
      <c r="D25" s="306"/>
      <c r="E25" s="306"/>
      <c r="F25" s="306"/>
      <c r="G25" s="306"/>
      <c r="H25" s="306"/>
      <c r="I25" s="306"/>
    </row>
    <row r="26" spans="1:9" ht="18" customHeight="1">
      <c r="A26" s="24"/>
      <c r="B26" s="23"/>
      <c r="C26" s="23"/>
      <c r="D26" s="23"/>
      <c r="E26" s="23"/>
      <c r="F26" s="23"/>
      <c r="G26" s="23"/>
      <c r="H26" s="23"/>
      <c r="I26" s="23"/>
    </row>
    <row r="27" spans="1:9" ht="18">
      <c r="A27" s="306" t="s">
        <v>268</v>
      </c>
      <c r="B27" s="306"/>
      <c r="C27" s="306"/>
      <c r="D27" s="306"/>
      <c r="E27" s="306"/>
      <c r="F27" s="306"/>
      <c r="G27" s="306"/>
      <c r="H27" s="306"/>
      <c r="I27" s="306"/>
    </row>
    <row r="28" spans="1:9" ht="18" customHeight="1">
      <c r="A28" s="24"/>
      <c r="B28" s="23"/>
      <c r="C28" s="23"/>
      <c r="D28" s="23"/>
      <c r="E28" s="23"/>
      <c r="F28" s="23"/>
      <c r="G28" s="23"/>
      <c r="H28" s="23"/>
      <c r="I28" s="23"/>
    </row>
    <row r="29" spans="1:9" ht="18">
      <c r="A29" s="306" t="s">
        <v>269</v>
      </c>
      <c r="B29" s="306"/>
      <c r="C29" s="306"/>
      <c r="D29" s="306"/>
      <c r="E29" s="306"/>
      <c r="F29" s="306"/>
      <c r="G29" s="306"/>
      <c r="H29" s="306"/>
      <c r="I29" s="306"/>
    </row>
    <row r="30" spans="1:9" ht="18" customHeight="1">
      <c r="A30" s="24"/>
      <c r="B30" s="23"/>
      <c r="C30" s="23"/>
      <c r="D30" s="23"/>
      <c r="E30" s="23"/>
      <c r="F30" s="23"/>
      <c r="G30" s="23"/>
      <c r="H30" s="23"/>
      <c r="I30" s="23"/>
    </row>
    <row r="31" spans="1:9" ht="18">
      <c r="A31" s="306" t="s">
        <v>259</v>
      </c>
      <c r="B31" s="306"/>
      <c r="C31" s="306"/>
      <c r="D31" s="306"/>
      <c r="E31" s="306"/>
      <c r="F31" s="306"/>
      <c r="G31" s="306"/>
      <c r="H31" s="306"/>
      <c r="I31" s="306"/>
    </row>
    <row r="32" spans="1:9" ht="18" customHeight="1">
      <c r="A32" s="24"/>
      <c r="B32" s="23"/>
      <c r="C32" s="23"/>
      <c r="D32" s="23"/>
      <c r="E32" s="23"/>
      <c r="F32" s="23"/>
      <c r="G32" s="23"/>
      <c r="H32" s="23"/>
      <c r="I32" s="23"/>
    </row>
    <row r="33" spans="1:9" ht="18">
      <c r="A33" s="306" t="s">
        <v>270</v>
      </c>
      <c r="B33" s="306"/>
      <c r="C33" s="306"/>
      <c r="D33" s="306"/>
      <c r="E33" s="306"/>
      <c r="F33" s="306"/>
      <c r="G33" s="306"/>
      <c r="H33" s="306"/>
      <c r="I33" s="306"/>
    </row>
    <row r="34" spans="1:9" ht="18" customHeight="1">
      <c r="A34" s="24"/>
      <c r="B34" s="23"/>
      <c r="C34" s="23"/>
      <c r="D34" s="23"/>
      <c r="E34" s="23"/>
      <c r="F34" s="23"/>
      <c r="G34" s="23"/>
      <c r="H34" s="23"/>
      <c r="I34" s="23"/>
    </row>
    <row r="35" spans="1:9" ht="18">
      <c r="A35" s="306" t="s">
        <v>260</v>
      </c>
      <c r="B35" s="306"/>
      <c r="C35" s="306"/>
      <c r="D35" s="306"/>
      <c r="E35" s="306"/>
      <c r="F35" s="306"/>
      <c r="G35" s="306"/>
      <c r="H35" s="306"/>
      <c r="I35" s="306"/>
    </row>
  </sheetData>
  <sheetProtection algorithmName="SHA-512" hashValue="oM1oqP6yKgfeD2iY5DyACIaDIQkp+QZcHUr/GnbQrWeJ4F48LArkDV20zgS9Gqcta0JFtSh8LcUh6LRDmX0Qew==" saltValue="LJB7h7p1bFC4HbdXHhnFHA==" spinCount="100000" sheet="1" objects="1" scenarios="1"/>
  <mergeCells count="18">
    <mergeCell ref="A1:I1"/>
    <mergeCell ref="A5:I5"/>
    <mergeCell ref="A7:I7"/>
    <mergeCell ref="A17:I17"/>
    <mergeCell ref="A19:I19"/>
    <mergeCell ref="A3:I3"/>
    <mergeCell ref="A21:I21"/>
    <mergeCell ref="A23:I23"/>
    <mergeCell ref="A9:I9"/>
    <mergeCell ref="A11:I11"/>
    <mergeCell ref="A13:I13"/>
    <mergeCell ref="A15:I15"/>
    <mergeCell ref="A33:I33"/>
    <mergeCell ref="A35:I35"/>
    <mergeCell ref="A25:I25"/>
    <mergeCell ref="A27:I27"/>
    <mergeCell ref="A29:I29"/>
    <mergeCell ref="A31:I31"/>
  </mergeCells>
  <phoneticPr fontId="6" type="noConversion"/>
  <hyperlinks>
    <hyperlink ref="A5" location="Information" display="1. Informations de base du projet" xr:uid="{00000000-0004-0000-0200-000000000000}"/>
    <hyperlink ref="A7" location="Resume" display="2. Résumé du projet" xr:uid="{00000000-0004-0000-0200-000001000000}"/>
    <hyperlink ref="A9" location="Portrait" display="3. Portrait de l'entreprise" xr:uid="{00000000-0004-0000-0200-000002000000}"/>
    <hyperlink ref="A11" location="Produits" display="4. Produits / prestations" xr:uid="{00000000-0004-0000-0200-000003000000}"/>
    <hyperlink ref="A13" location="Cibles" display="5. Cibles de clientèle" xr:uid="{00000000-0004-0000-0200-000004000000}"/>
    <hyperlink ref="A15" location="Marche" display="6. Marché / concurrence" xr:uid="{00000000-0004-0000-0200-000005000000}"/>
    <hyperlink ref="A17" location="BilanI" display="7. Bilan initial" xr:uid="{00000000-0004-0000-0200-000006000000}"/>
    <hyperlink ref="A19" location="Immobbilisations" display="8. Inventaire des immobilisations" xr:uid="{00000000-0004-0000-0200-000007000000}"/>
    <hyperlink ref="A21" location="Investissements" display="9. Plan des investissements" xr:uid="{00000000-0004-0000-0200-000008000000}"/>
    <hyperlink ref="A23" location="Annexe1" display="Annexe 1: Compte d'exploitation base 12 mois" xr:uid="{00000000-0004-0000-0200-000009000000}"/>
    <hyperlink ref="A25" location="Annexe2" display="Annexe 2: Plan de financement" xr:uid="{00000000-0004-0000-0200-00000A000000}"/>
    <hyperlink ref="A27" location="Annexe3" display="Annexe 3: Détail des charges d'exploitation" xr:uid="{00000000-0004-0000-0200-00000B000000}"/>
    <hyperlink ref="A29" location="Exploitation" display="10. Compte d'exploitation de la période" xr:uid="{00000000-0004-0000-0200-00000C000000}"/>
    <hyperlink ref="A31" location="Liquidites" display="11. Plan des liquidités prévisionnelles" xr:uid="{00000000-0004-0000-0200-00000D000000}"/>
    <hyperlink ref="A33" location="BilanF" display="12. Bilan final " xr:uid="{00000000-0004-0000-0200-00000E000000}"/>
    <hyperlink ref="A35" location="Ratios" display="13. Ratios et analyse du projet" xr:uid="{00000000-0004-0000-0200-00000F000000}"/>
    <hyperlink ref="A3" location="Information" display="1. Informations de base du projet" xr:uid="{00000000-0004-0000-0200-000010000000}"/>
    <hyperlink ref="A3:I3" location="'Business Model'!A1" display="0. Business Model Canvas" xr:uid="{00000000-0004-0000-0200-000011000000}"/>
  </hyperlinks>
  <pageMargins left="0.78740157480314965" right="0.78740157480314965" top="0.98425196850393704" bottom="0.78740157480314965" header="0.51181102362204722" footer="0.39370078740157483"/>
  <pageSetup paperSize="9" orientation="portrait" r:id="rId1"/>
  <headerFooter scaleWithDoc="0">
    <oddFooter>&amp;R1</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69"/>
  <sheetViews>
    <sheetView zoomScale="60" zoomScaleNormal="60" zoomScalePageLayoutView="60" workbookViewId="0">
      <selection activeCell="Q1" sqref="Q1:T4"/>
    </sheetView>
  </sheetViews>
  <sheetFormatPr baseColWidth="10" defaultColWidth="10.84375" defaultRowHeight="15.45"/>
  <cols>
    <col min="1" max="20" width="11.69140625" style="25" customWidth="1"/>
    <col min="21" max="21" width="10.84375" style="28" customWidth="1"/>
    <col min="22" max="16384" width="10.84375" style="25"/>
  </cols>
  <sheetData>
    <row r="1" spans="1:20" s="25" customFormat="1" ht="15" customHeight="1">
      <c r="A1" s="26"/>
      <c r="B1" s="26"/>
      <c r="C1" s="26"/>
      <c r="D1" s="26"/>
      <c r="E1" s="26"/>
      <c r="F1" s="26"/>
      <c r="G1" s="26"/>
      <c r="H1" s="26"/>
      <c r="I1" s="308" t="str">
        <f>Accueil!A16</f>
        <v>Neuch'burger</v>
      </c>
      <c r="J1" s="308"/>
      <c r="K1" s="308"/>
      <c r="L1" s="308"/>
      <c r="M1" s="308"/>
      <c r="N1" s="308"/>
      <c r="O1" s="308"/>
      <c r="P1" s="26"/>
      <c r="Q1" s="309">
        <f>Accueil!C49</f>
        <v>44802</v>
      </c>
      <c r="R1" s="309"/>
      <c r="S1" s="309"/>
      <c r="T1" s="309"/>
    </row>
    <row r="2" spans="1:20" s="25" customFormat="1" ht="15" customHeight="1">
      <c r="A2" s="310" t="s">
        <v>345</v>
      </c>
      <c r="B2" s="310"/>
      <c r="C2" s="310"/>
      <c r="D2" s="310"/>
      <c r="E2" s="310"/>
      <c r="F2" s="310"/>
      <c r="G2" s="310"/>
      <c r="H2" s="26"/>
      <c r="I2" s="308"/>
      <c r="J2" s="308"/>
      <c r="K2" s="308"/>
      <c r="L2" s="308"/>
      <c r="M2" s="308"/>
      <c r="N2" s="308"/>
      <c r="O2" s="308"/>
      <c r="P2" s="27"/>
      <c r="Q2" s="309"/>
      <c r="R2" s="309"/>
      <c r="S2" s="309"/>
      <c r="T2" s="309"/>
    </row>
    <row r="3" spans="1:20" s="25" customFormat="1" ht="15" customHeight="1">
      <c r="A3" s="310"/>
      <c r="B3" s="310"/>
      <c r="C3" s="310"/>
      <c r="D3" s="310"/>
      <c r="E3" s="310"/>
      <c r="F3" s="310"/>
      <c r="G3" s="310"/>
      <c r="H3" s="26"/>
      <c r="I3" s="308"/>
      <c r="J3" s="308"/>
      <c r="K3" s="308"/>
      <c r="L3" s="308"/>
      <c r="M3" s="308"/>
      <c r="N3" s="308"/>
      <c r="O3" s="308"/>
      <c r="P3" s="26"/>
      <c r="Q3" s="309"/>
      <c r="R3" s="309"/>
      <c r="S3" s="309"/>
      <c r="T3" s="309"/>
    </row>
    <row r="4" spans="1:20" s="25" customFormat="1" ht="15" customHeight="1">
      <c r="A4" s="310"/>
      <c r="B4" s="310"/>
      <c r="C4" s="310"/>
      <c r="D4" s="310"/>
      <c r="E4" s="310"/>
      <c r="F4" s="310"/>
      <c r="G4" s="310"/>
      <c r="H4" s="26"/>
      <c r="I4" s="308"/>
      <c r="J4" s="308"/>
      <c r="K4" s="308"/>
      <c r="L4" s="308"/>
      <c r="M4" s="308"/>
      <c r="N4" s="308"/>
      <c r="O4" s="308"/>
      <c r="P4" s="26"/>
      <c r="Q4" s="309"/>
      <c r="R4" s="309"/>
      <c r="S4" s="309"/>
      <c r="T4" s="309"/>
    </row>
    <row r="7" spans="1:20" s="25" customFormat="1" ht="15" customHeight="1">
      <c r="A7" s="311" t="s">
        <v>329</v>
      </c>
      <c r="B7" s="312"/>
      <c r="C7" s="312"/>
      <c r="D7" s="312"/>
      <c r="E7" s="315" t="s">
        <v>330</v>
      </c>
      <c r="F7" s="316"/>
      <c r="G7" s="316"/>
      <c r="H7" s="316"/>
      <c r="I7" s="322" t="s">
        <v>343</v>
      </c>
      <c r="J7" s="323"/>
      <c r="K7" s="323"/>
      <c r="L7" s="324"/>
      <c r="M7" s="315" t="s">
        <v>331</v>
      </c>
      <c r="N7" s="316"/>
      <c r="O7" s="316"/>
      <c r="P7" s="316"/>
      <c r="Q7" s="322" t="s">
        <v>344</v>
      </c>
      <c r="R7" s="323"/>
      <c r="S7" s="323"/>
      <c r="T7" s="324"/>
    </row>
    <row r="8" spans="1:20" s="25" customFormat="1" ht="15" customHeight="1">
      <c r="A8" s="313"/>
      <c r="B8" s="314"/>
      <c r="C8" s="314"/>
      <c r="D8" s="314"/>
      <c r="E8" s="317"/>
      <c r="F8" s="318"/>
      <c r="G8" s="318"/>
      <c r="H8" s="318"/>
      <c r="I8" s="325"/>
      <c r="J8" s="326"/>
      <c r="K8" s="326"/>
      <c r="L8" s="327"/>
      <c r="M8" s="317"/>
      <c r="N8" s="318"/>
      <c r="O8" s="318"/>
      <c r="P8" s="318"/>
      <c r="Q8" s="325"/>
      <c r="R8" s="326"/>
      <c r="S8" s="326"/>
      <c r="T8" s="327"/>
    </row>
    <row r="9" spans="1:20" s="25" customFormat="1" ht="15" customHeight="1">
      <c r="A9" s="319"/>
      <c r="B9" s="320"/>
      <c r="C9" s="320"/>
      <c r="D9" s="321"/>
      <c r="E9" s="319"/>
      <c r="F9" s="320"/>
      <c r="G9" s="320"/>
      <c r="H9" s="321"/>
      <c r="I9" s="325"/>
      <c r="J9" s="326"/>
      <c r="K9" s="326"/>
      <c r="L9" s="327"/>
      <c r="M9" s="319"/>
      <c r="N9" s="320"/>
      <c r="O9" s="320"/>
      <c r="P9" s="321"/>
      <c r="Q9" s="325"/>
      <c r="R9" s="326"/>
      <c r="S9" s="326"/>
      <c r="T9" s="327"/>
    </row>
    <row r="10" spans="1:20" s="25" customFormat="1" ht="15" customHeight="1">
      <c r="A10" s="319"/>
      <c r="B10" s="320"/>
      <c r="C10" s="320"/>
      <c r="D10" s="321"/>
      <c r="E10" s="319"/>
      <c r="F10" s="320"/>
      <c r="G10" s="320"/>
      <c r="H10" s="321"/>
      <c r="I10" s="325"/>
      <c r="J10" s="326"/>
      <c r="K10" s="326"/>
      <c r="L10" s="327"/>
      <c r="M10" s="319"/>
      <c r="N10" s="320"/>
      <c r="O10" s="320"/>
      <c r="P10" s="321"/>
      <c r="Q10" s="325"/>
      <c r="R10" s="326"/>
      <c r="S10" s="326"/>
      <c r="T10" s="327"/>
    </row>
    <row r="11" spans="1:20" s="25" customFormat="1" ht="15" customHeight="1">
      <c r="A11" s="319"/>
      <c r="B11" s="320"/>
      <c r="C11" s="320"/>
      <c r="D11" s="321"/>
      <c r="E11" s="319"/>
      <c r="F11" s="320"/>
      <c r="G11" s="320"/>
      <c r="H11" s="321"/>
      <c r="I11" s="319"/>
      <c r="J11" s="320"/>
      <c r="K11" s="320"/>
      <c r="L11" s="321"/>
      <c r="M11" s="319"/>
      <c r="N11" s="320"/>
      <c r="O11" s="320"/>
      <c r="P11" s="321"/>
      <c r="Q11" s="319"/>
      <c r="R11" s="320"/>
      <c r="S11" s="320"/>
      <c r="T11" s="321"/>
    </row>
    <row r="12" spans="1:20" s="25" customFormat="1" ht="15" customHeight="1">
      <c r="A12" s="319"/>
      <c r="B12" s="320"/>
      <c r="C12" s="320"/>
      <c r="D12" s="321"/>
      <c r="E12" s="319"/>
      <c r="F12" s="320"/>
      <c r="G12" s="320"/>
      <c r="H12" s="321"/>
      <c r="I12" s="319"/>
      <c r="J12" s="320"/>
      <c r="K12" s="320"/>
      <c r="L12" s="321"/>
      <c r="M12" s="319"/>
      <c r="N12" s="320"/>
      <c r="O12" s="320"/>
      <c r="P12" s="321"/>
      <c r="Q12" s="319"/>
      <c r="R12" s="320"/>
      <c r="S12" s="320"/>
      <c r="T12" s="321"/>
    </row>
    <row r="13" spans="1:20" s="25" customFormat="1" ht="15" customHeight="1">
      <c r="A13" s="319"/>
      <c r="B13" s="320"/>
      <c r="C13" s="320"/>
      <c r="D13" s="321"/>
      <c r="E13" s="319"/>
      <c r="F13" s="320"/>
      <c r="G13" s="320"/>
      <c r="H13" s="321"/>
      <c r="I13" s="319"/>
      <c r="J13" s="320"/>
      <c r="K13" s="320"/>
      <c r="L13" s="321"/>
      <c r="M13" s="319"/>
      <c r="N13" s="320"/>
      <c r="O13" s="320"/>
      <c r="P13" s="321"/>
      <c r="Q13" s="319"/>
      <c r="R13" s="320"/>
      <c r="S13" s="320"/>
      <c r="T13" s="321"/>
    </row>
    <row r="14" spans="1:20" s="25" customFormat="1" ht="15" customHeight="1">
      <c r="A14" s="319"/>
      <c r="B14" s="320"/>
      <c r="C14" s="320"/>
      <c r="D14" s="321"/>
      <c r="E14" s="319"/>
      <c r="F14" s="320"/>
      <c r="G14" s="320"/>
      <c r="H14" s="321"/>
      <c r="I14" s="319"/>
      <c r="J14" s="320"/>
      <c r="K14" s="320"/>
      <c r="L14" s="321"/>
      <c r="M14" s="319"/>
      <c r="N14" s="320"/>
      <c r="O14" s="320"/>
      <c r="P14" s="321"/>
      <c r="Q14" s="319"/>
      <c r="R14" s="320"/>
      <c r="S14" s="320"/>
      <c r="T14" s="321"/>
    </row>
    <row r="15" spans="1:20" s="25" customFormat="1" ht="15" customHeight="1">
      <c r="A15" s="319"/>
      <c r="B15" s="320"/>
      <c r="C15" s="320"/>
      <c r="D15" s="321"/>
      <c r="E15" s="319"/>
      <c r="F15" s="320"/>
      <c r="G15" s="320"/>
      <c r="H15" s="321"/>
      <c r="I15" s="319"/>
      <c r="J15" s="320"/>
      <c r="K15" s="320"/>
      <c r="L15" s="321"/>
      <c r="M15" s="319"/>
      <c r="N15" s="320"/>
      <c r="O15" s="320"/>
      <c r="P15" s="321"/>
      <c r="Q15" s="319"/>
      <c r="R15" s="320"/>
      <c r="S15" s="320"/>
      <c r="T15" s="321"/>
    </row>
    <row r="16" spans="1:20" s="25" customFormat="1" ht="15" customHeight="1">
      <c r="A16" s="319"/>
      <c r="B16" s="320"/>
      <c r="C16" s="320"/>
      <c r="D16" s="321"/>
      <c r="E16" s="319"/>
      <c r="F16" s="320"/>
      <c r="G16" s="320"/>
      <c r="H16" s="321"/>
      <c r="I16" s="319"/>
      <c r="J16" s="320"/>
      <c r="K16" s="320"/>
      <c r="L16" s="321"/>
      <c r="M16" s="319"/>
      <c r="N16" s="320"/>
      <c r="O16" s="320"/>
      <c r="P16" s="321"/>
      <c r="Q16" s="319"/>
      <c r="R16" s="320"/>
      <c r="S16" s="320"/>
      <c r="T16" s="321"/>
    </row>
    <row r="17" spans="1:20" s="25" customFormat="1" ht="15" customHeight="1">
      <c r="A17" s="319"/>
      <c r="B17" s="320"/>
      <c r="C17" s="320"/>
      <c r="D17" s="321"/>
      <c r="E17" s="319"/>
      <c r="F17" s="320"/>
      <c r="G17" s="320"/>
      <c r="H17" s="321"/>
      <c r="I17" s="319"/>
      <c r="J17" s="320"/>
      <c r="K17" s="320"/>
      <c r="L17" s="321"/>
      <c r="M17" s="319"/>
      <c r="N17" s="320"/>
      <c r="O17" s="320"/>
      <c r="P17" s="321"/>
      <c r="Q17" s="319"/>
      <c r="R17" s="320"/>
      <c r="S17" s="320"/>
      <c r="T17" s="321"/>
    </row>
    <row r="18" spans="1:20" s="25" customFormat="1" ht="15" customHeight="1">
      <c r="A18" s="319"/>
      <c r="B18" s="320"/>
      <c r="C18" s="320"/>
      <c r="D18" s="321"/>
      <c r="E18" s="319"/>
      <c r="F18" s="320"/>
      <c r="G18" s="320"/>
      <c r="H18" s="321"/>
      <c r="I18" s="319"/>
      <c r="J18" s="320"/>
      <c r="K18" s="320"/>
      <c r="L18" s="321"/>
      <c r="M18" s="319"/>
      <c r="N18" s="320"/>
      <c r="O18" s="320"/>
      <c r="P18" s="321"/>
      <c r="Q18" s="319"/>
      <c r="R18" s="320"/>
      <c r="S18" s="320"/>
      <c r="T18" s="321"/>
    </row>
    <row r="19" spans="1:20" s="25" customFormat="1" ht="15" customHeight="1">
      <c r="A19" s="319"/>
      <c r="B19" s="320"/>
      <c r="C19" s="320"/>
      <c r="D19" s="321"/>
      <c r="E19" s="319"/>
      <c r="F19" s="320"/>
      <c r="G19" s="320"/>
      <c r="H19" s="321"/>
      <c r="I19" s="319"/>
      <c r="J19" s="320"/>
      <c r="K19" s="320"/>
      <c r="L19" s="321"/>
      <c r="M19" s="319"/>
      <c r="N19" s="320"/>
      <c r="O19" s="320"/>
      <c r="P19" s="321"/>
      <c r="Q19" s="319"/>
      <c r="R19" s="320"/>
      <c r="S19" s="320"/>
      <c r="T19" s="321"/>
    </row>
    <row r="20" spans="1:20" s="25" customFormat="1" ht="15" customHeight="1">
      <c r="A20" s="319"/>
      <c r="B20" s="320"/>
      <c r="C20" s="320"/>
      <c r="D20" s="321"/>
      <c r="E20" s="319"/>
      <c r="F20" s="320"/>
      <c r="G20" s="320"/>
      <c r="H20" s="321"/>
      <c r="I20" s="319"/>
      <c r="J20" s="320"/>
      <c r="K20" s="320"/>
      <c r="L20" s="321"/>
      <c r="M20" s="319"/>
      <c r="N20" s="320"/>
      <c r="O20" s="320"/>
      <c r="P20" s="321"/>
      <c r="Q20" s="319"/>
      <c r="R20" s="320"/>
      <c r="S20" s="320"/>
      <c r="T20" s="321"/>
    </row>
    <row r="21" spans="1:20" s="25" customFormat="1" ht="15" customHeight="1">
      <c r="A21" s="319"/>
      <c r="B21" s="320"/>
      <c r="C21" s="320"/>
      <c r="D21" s="321"/>
      <c r="E21" s="319"/>
      <c r="F21" s="320"/>
      <c r="G21" s="320"/>
      <c r="H21" s="321"/>
      <c r="I21" s="319"/>
      <c r="J21" s="320"/>
      <c r="K21" s="320"/>
      <c r="L21" s="321"/>
      <c r="M21" s="319"/>
      <c r="N21" s="320"/>
      <c r="O21" s="320"/>
      <c r="P21" s="321"/>
      <c r="Q21" s="319"/>
      <c r="R21" s="320"/>
      <c r="S21" s="320"/>
      <c r="T21" s="321"/>
    </row>
    <row r="22" spans="1:20" s="25" customFormat="1" ht="15" customHeight="1">
      <c r="A22" s="319"/>
      <c r="B22" s="320"/>
      <c r="C22" s="320"/>
      <c r="D22" s="321"/>
      <c r="E22" s="319"/>
      <c r="F22" s="320"/>
      <c r="G22" s="320"/>
      <c r="H22" s="321"/>
      <c r="I22" s="319"/>
      <c r="J22" s="320"/>
      <c r="K22" s="320"/>
      <c r="L22" s="321"/>
      <c r="M22" s="319"/>
      <c r="N22" s="320"/>
      <c r="O22" s="320"/>
      <c r="P22" s="321"/>
      <c r="Q22" s="319"/>
      <c r="R22" s="320"/>
      <c r="S22" s="320"/>
      <c r="T22" s="321"/>
    </row>
    <row r="23" spans="1:20" s="25" customFormat="1" ht="15" customHeight="1">
      <c r="A23" s="319"/>
      <c r="B23" s="320"/>
      <c r="C23" s="320"/>
      <c r="D23" s="321"/>
      <c r="E23" s="319"/>
      <c r="F23" s="320"/>
      <c r="G23" s="320"/>
      <c r="H23" s="321"/>
      <c r="I23" s="319"/>
      <c r="J23" s="320"/>
      <c r="K23" s="320"/>
      <c r="L23" s="321"/>
      <c r="M23" s="319"/>
      <c r="N23" s="320"/>
      <c r="O23" s="320"/>
      <c r="P23" s="321"/>
      <c r="Q23" s="319"/>
      <c r="R23" s="320"/>
      <c r="S23" s="320"/>
      <c r="T23" s="321"/>
    </row>
    <row r="24" spans="1:20" s="25" customFormat="1" ht="15" customHeight="1">
      <c r="A24" s="319"/>
      <c r="B24" s="320"/>
      <c r="C24" s="320"/>
      <c r="D24" s="321"/>
      <c r="E24" s="319"/>
      <c r="F24" s="320"/>
      <c r="G24" s="320"/>
      <c r="H24" s="321"/>
      <c r="I24" s="319"/>
      <c r="J24" s="320"/>
      <c r="K24" s="320"/>
      <c r="L24" s="321"/>
      <c r="M24" s="319"/>
      <c r="N24" s="320"/>
      <c r="O24" s="320"/>
      <c r="P24" s="321"/>
      <c r="Q24" s="319"/>
      <c r="R24" s="320"/>
      <c r="S24" s="320"/>
      <c r="T24" s="321"/>
    </row>
    <row r="25" spans="1:20" s="25" customFormat="1" ht="15" customHeight="1">
      <c r="A25" s="319"/>
      <c r="B25" s="320"/>
      <c r="C25" s="320"/>
      <c r="D25" s="321"/>
      <c r="E25" s="319"/>
      <c r="F25" s="320"/>
      <c r="G25" s="320"/>
      <c r="H25" s="321"/>
      <c r="I25" s="319"/>
      <c r="J25" s="320"/>
      <c r="K25" s="320"/>
      <c r="L25" s="321"/>
      <c r="M25" s="319"/>
      <c r="N25" s="320"/>
      <c r="O25" s="320"/>
      <c r="P25" s="321"/>
      <c r="Q25" s="319"/>
      <c r="R25" s="320"/>
      <c r="S25" s="320"/>
      <c r="T25" s="321"/>
    </row>
    <row r="26" spans="1:20" s="25" customFormat="1" ht="15" customHeight="1">
      <c r="A26" s="319"/>
      <c r="B26" s="328"/>
      <c r="C26" s="328"/>
      <c r="D26" s="321"/>
      <c r="E26" s="319"/>
      <c r="F26" s="320"/>
      <c r="G26" s="320"/>
      <c r="H26" s="321"/>
      <c r="I26" s="319"/>
      <c r="J26" s="320"/>
      <c r="K26" s="320"/>
      <c r="L26" s="321"/>
      <c r="M26" s="319"/>
      <c r="N26" s="320"/>
      <c r="O26" s="320"/>
      <c r="P26" s="321"/>
      <c r="Q26" s="319"/>
      <c r="R26" s="328"/>
      <c r="S26" s="328"/>
      <c r="T26" s="321"/>
    </row>
    <row r="27" spans="1:20" s="25" customFormat="1" ht="15" customHeight="1">
      <c r="A27" s="329"/>
      <c r="B27" s="330"/>
      <c r="C27" s="330"/>
      <c r="D27" s="331"/>
      <c r="E27" s="311" t="s">
        <v>332</v>
      </c>
      <c r="F27" s="312"/>
      <c r="G27" s="312"/>
      <c r="H27" s="312"/>
      <c r="I27" s="329"/>
      <c r="J27" s="330"/>
      <c r="K27" s="330"/>
      <c r="L27" s="331"/>
      <c r="M27" s="311" t="s">
        <v>333</v>
      </c>
      <c r="N27" s="312"/>
      <c r="O27" s="312"/>
      <c r="P27" s="312"/>
      <c r="Q27" s="329"/>
      <c r="R27" s="330"/>
      <c r="S27" s="330"/>
      <c r="T27" s="331"/>
    </row>
    <row r="28" spans="1:20" s="25" customFormat="1" ht="15" customHeight="1">
      <c r="A28" s="329"/>
      <c r="B28" s="330"/>
      <c r="C28" s="330"/>
      <c r="D28" s="331"/>
      <c r="E28" s="313"/>
      <c r="F28" s="314"/>
      <c r="G28" s="314"/>
      <c r="H28" s="314"/>
      <c r="I28" s="329"/>
      <c r="J28" s="330"/>
      <c r="K28" s="330"/>
      <c r="L28" s="331"/>
      <c r="M28" s="313"/>
      <c r="N28" s="314"/>
      <c r="O28" s="314"/>
      <c r="P28" s="314"/>
      <c r="Q28" s="329"/>
      <c r="R28" s="330"/>
      <c r="S28" s="330"/>
      <c r="T28" s="331"/>
    </row>
    <row r="29" spans="1:20" s="25" customFormat="1" ht="15" customHeight="1">
      <c r="A29" s="319"/>
      <c r="B29" s="320"/>
      <c r="C29" s="320"/>
      <c r="D29" s="321"/>
      <c r="E29" s="319"/>
      <c r="F29" s="320"/>
      <c r="G29" s="320"/>
      <c r="H29" s="321"/>
      <c r="I29" s="319"/>
      <c r="J29" s="320"/>
      <c r="K29" s="320"/>
      <c r="L29" s="321"/>
      <c r="M29" s="319"/>
      <c r="N29" s="320"/>
      <c r="O29" s="320"/>
      <c r="P29" s="321"/>
      <c r="Q29" s="319"/>
      <c r="R29" s="320"/>
      <c r="S29" s="320"/>
      <c r="T29" s="321"/>
    </row>
    <row r="30" spans="1:20" s="25" customFormat="1" ht="15" customHeight="1">
      <c r="A30" s="319"/>
      <c r="B30" s="320"/>
      <c r="C30" s="320"/>
      <c r="D30" s="321"/>
      <c r="E30" s="319"/>
      <c r="F30" s="320"/>
      <c r="G30" s="320"/>
      <c r="H30" s="321"/>
      <c r="I30" s="319"/>
      <c r="J30" s="320"/>
      <c r="K30" s="320"/>
      <c r="L30" s="321"/>
      <c r="M30" s="319"/>
      <c r="N30" s="320"/>
      <c r="O30" s="320"/>
      <c r="P30" s="321"/>
      <c r="Q30" s="319"/>
      <c r="R30" s="320"/>
      <c r="S30" s="320"/>
      <c r="T30" s="321"/>
    </row>
    <row r="31" spans="1:20" s="25" customFormat="1" ht="15" customHeight="1">
      <c r="A31" s="319"/>
      <c r="B31" s="320"/>
      <c r="C31" s="320"/>
      <c r="D31" s="321"/>
      <c r="E31" s="319"/>
      <c r="F31" s="320"/>
      <c r="G31" s="320"/>
      <c r="H31" s="321"/>
      <c r="I31" s="319"/>
      <c r="J31" s="320"/>
      <c r="K31" s="320"/>
      <c r="L31" s="321"/>
      <c r="M31" s="319"/>
      <c r="N31" s="320"/>
      <c r="O31" s="320"/>
      <c r="P31" s="321"/>
      <c r="Q31" s="319"/>
      <c r="R31" s="320"/>
      <c r="S31" s="320"/>
      <c r="T31" s="321"/>
    </row>
    <row r="32" spans="1:20" s="25" customFormat="1" ht="15" customHeight="1">
      <c r="A32" s="319"/>
      <c r="B32" s="320"/>
      <c r="C32" s="320"/>
      <c r="D32" s="321"/>
      <c r="E32" s="319"/>
      <c r="F32" s="320"/>
      <c r="G32" s="320"/>
      <c r="H32" s="321"/>
      <c r="I32" s="319"/>
      <c r="J32" s="320"/>
      <c r="K32" s="320"/>
      <c r="L32" s="321"/>
      <c r="M32" s="319"/>
      <c r="N32" s="320"/>
      <c r="O32" s="320"/>
      <c r="P32" s="321"/>
      <c r="Q32" s="319"/>
      <c r="R32" s="320"/>
      <c r="S32" s="320"/>
      <c r="T32" s="321"/>
    </row>
    <row r="33" spans="1:20" s="25" customFormat="1" ht="15" customHeight="1">
      <c r="A33" s="319"/>
      <c r="B33" s="320"/>
      <c r="C33" s="320"/>
      <c r="D33" s="321"/>
      <c r="E33" s="319"/>
      <c r="F33" s="320"/>
      <c r="G33" s="320"/>
      <c r="H33" s="321"/>
      <c r="I33" s="319"/>
      <c r="J33" s="320"/>
      <c r="K33" s="320"/>
      <c r="L33" s="321"/>
      <c r="M33" s="319"/>
      <c r="N33" s="320"/>
      <c r="O33" s="320"/>
      <c r="P33" s="321"/>
      <c r="Q33" s="319"/>
      <c r="R33" s="320"/>
      <c r="S33" s="320"/>
      <c r="T33" s="321"/>
    </row>
    <row r="34" spans="1:20" s="25" customFormat="1" ht="15" customHeight="1">
      <c r="A34" s="319"/>
      <c r="B34" s="328"/>
      <c r="C34" s="328"/>
      <c r="D34" s="321"/>
      <c r="E34" s="319"/>
      <c r="F34" s="320"/>
      <c r="G34" s="320"/>
      <c r="H34" s="321"/>
      <c r="I34" s="319"/>
      <c r="J34" s="320"/>
      <c r="K34" s="320"/>
      <c r="L34" s="321"/>
      <c r="M34" s="319"/>
      <c r="N34" s="320"/>
      <c r="O34" s="320"/>
      <c r="P34" s="321"/>
      <c r="Q34" s="319"/>
      <c r="R34" s="320"/>
      <c r="S34" s="320"/>
      <c r="T34" s="321"/>
    </row>
    <row r="35" spans="1:20" s="25" customFormat="1" ht="15" customHeight="1">
      <c r="A35" s="319"/>
      <c r="B35" s="328"/>
      <c r="C35" s="328"/>
      <c r="D35" s="321"/>
      <c r="E35" s="319"/>
      <c r="F35" s="320"/>
      <c r="G35" s="320"/>
      <c r="H35" s="321"/>
      <c r="I35" s="319"/>
      <c r="J35" s="320"/>
      <c r="K35" s="320"/>
      <c r="L35" s="321"/>
      <c r="M35" s="319"/>
      <c r="N35" s="320"/>
      <c r="O35" s="320"/>
      <c r="P35" s="321"/>
      <c r="Q35" s="319"/>
      <c r="R35" s="320"/>
      <c r="S35" s="320"/>
      <c r="T35" s="321"/>
    </row>
    <row r="36" spans="1:20" s="25" customFormat="1" ht="15" customHeight="1">
      <c r="A36" s="319"/>
      <c r="B36" s="328"/>
      <c r="C36" s="328"/>
      <c r="D36" s="321"/>
      <c r="E36" s="319"/>
      <c r="F36" s="320"/>
      <c r="G36" s="320"/>
      <c r="H36" s="321"/>
      <c r="I36" s="319"/>
      <c r="J36" s="320"/>
      <c r="K36" s="320"/>
      <c r="L36" s="321"/>
      <c r="M36" s="319"/>
      <c r="N36" s="320"/>
      <c r="O36" s="320"/>
      <c r="P36" s="321"/>
      <c r="Q36" s="319"/>
      <c r="R36" s="320"/>
      <c r="S36" s="320"/>
      <c r="T36" s="321"/>
    </row>
    <row r="37" spans="1:20" s="25" customFormat="1" ht="15" customHeight="1">
      <c r="A37" s="319"/>
      <c r="B37" s="320"/>
      <c r="C37" s="320"/>
      <c r="D37" s="321"/>
      <c r="E37" s="319"/>
      <c r="F37" s="320"/>
      <c r="G37" s="320"/>
      <c r="H37" s="321"/>
      <c r="I37" s="319"/>
      <c r="J37" s="320"/>
      <c r="K37" s="320"/>
      <c r="L37" s="321"/>
      <c r="M37" s="319"/>
      <c r="N37" s="320"/>
      <c r="O37" s="320"/>
      <c r="P37" s="321"/>
      <c r="Q37" s="319"/>
      <c r="R37" s="320"/>
      <c r="S37" s="320"/>
      <c r="T37" s="321"/>
    </row>
    <row r="38" spans="1:20" s="25" customFormat="1" ht="15" customHeight="1">
      <c r="A38" s="319"/>
      <c r="B38" s="320"/>
      <c r="C38" s="320"/>
      <c r="D38" s="321"/>
      <c r="E38" s="319"/>
      <c r="F38" s="320"/>
      <c r="G38" s="320"/>
      <c r="H38" s="321"/>
      <c r="I38" s="319"/>
      <c r="J38" s="320"/>
      <c r="K38" s="320"/>
      <c r="L38" s="321"/>
      <c r="M38" s="319"/>
      <c r="N38" s="320"/>
      <c r="O38" s="320"/>
      <c r="P38" s="321"/>
      <c r="Q38" s="319"/>
      <c r="R38" s="320"/>
      <c r="S38" s="320"/>
      <c r="T38" s="321"/>
    </row>
    <row r="39" spans="1:20" s="25" customFormat="1" ht="15" customHeight="1">
      <c r="A39" s="319"/>
      <c r="B39" s="320"/>
      <c r="C39" s="320"/>
      <c r="D39" s="321"/>
      <c r="E39" s="319"/>
      <c r="F39" s="320"/>
      <c r="G39" s="320"/>
      <c r="H39" s="321"/>
      <c r="I39" s="319"/>
      <c r="J39" s="320"/>
      <c r="K39" s="320"/>
      <c r="L39" s="321"/>
      <c r="M39" s="319"/>
      <c r="N39" s="320"/>
      <c r="O39" s="320"/>
      <c r="P39" s="321"/>
      <c r="Q39" s="319"/>
      <c r="R39" s="320"/>
      <c r="S39" s="320"/>
      <c r="T39" s="321"/>
    </row>
    <row r="40" spans="1:20" s="25" customFormat="1" ht="15" customHeight="1">
      <c r="A40" s="319"/>
      <c r="B40" s="320"/>
      <c r="C40" s="320"/>
      <c r="D40" s="321"/>
      <c r="E40" s="319"/>
      <c r="F40" s="320"/>
      <c r="G40" s="320"/>
      <c r="H40" s="321"/>
      <c r="I40" s="319"/>
      <c r="J40" s="320"/>
      <c r="K40" s="320"/>
      <c r="L40" s="321"/>
      <c r="M40" s="319"/>
      <c r="N40" s="320"/>
      <c r="O40" s="320"/>
      <c r="P40" s="321"/>
      <c r="Q40" s="319"/>
      <c r="R40" s="320"/>
      <c r="S40" s="320"/>
      <c r="T40" s="321"/>
    </row>
    <row r="41" spans="1:20" s="25" customFormat="1" ht="15" customHeight="1">
      <c r="A41" s="319"/>
      <c r="B41" s="320"/>
      <c r="C41" s="320"/>
      <c r="D41" s="321"/>
      <c r="E41" s="319"/>
      <c r="F41" s="320"/>
      <c r="G41" s="320"/>
      <c r="H41" s="321"/>
      <c r="I41" s="319"/>
      <c r="J41" s="320"/>
      <c r="K41" s="320"/>
      <c r="L41" s="321"/>
      <c r="M41" s="319"/>
      <c r="N41" s="320"/>
      <c r="O41" s="320"/>
      <c r="P41" s="321"/>
      <c r="Q41" s="319"/>
      <c r="R41" s="320"/>
      <c r="S41" s="320"/>
      <c r="T41" s="321"/>
    </row>
    <row r="42" spans="1:20" s="25" customFormat="1" ht="15" customHeight="1">
      <c r="A42" s="319"/>
      <c r="B42" s="320"/>
      <c r="C42" s="320"/>
      <c r="D42" s="321"/>
      <c r="E42" s="319"/>
      <c r="F42" s="320"/>
      <c r="G42" s="320"/>
      <c r="H42" s="321"/>
      <c r="I42" s="319"/>
      <c r="J42" s="320"/>
      <c r="K42" s="320"/>
      <c r="L42" s="321"/>
      <c r="M42" s="319"/>
      <c r="N42" s="320"/>
      <c r="O42" s="320"/>
      <c r="P42" s="321"/>
      <c r="Q42" s="319"/>
      <c r="R42" s="320"/>
      <c r="S42" s="320"/>
      <c r="T42" s="321"/>
    </row>
    <row r="43" spans="1:20" s="25" customFormat="1" ht="15" customHeight="1">
      <c r="A43" s="319"/>
      <c r="B43" s="320"/>
      <c r="C43" s="320"/>
      <c r="D43" s="321"/>
      <c r="E43" s="319"/>
      <c r="F43" s="320"/>
      <c r="G43" s="320"/>
      <c r="H43" s="321"/>
      <c r="I43" s="319"/>
      <c r="J43" s="320"/>
      <c r="K43" s="320"/>
      <c r="L43" s="321"/>
      <c r="M43" s="319"/>
      <c r="N43" s="320"/>
      <c r="O43" s="320"/>
      <c r="P43" s="321"/>
      <c r="Q43" s="319"/>
      <c r="R43" s="320"/>
      <c r="S43" s="320"/>
      <c r="T43" s="321"/>
    </row>
    <row r="44" spans="1:20" s="25" customFormat="1" ht="15" customHeight="1">
      <c r="A44" s="319"/>
      <c r="B44" s="320"/>
      <c r="C44" s="320"/>
      <c r="D44" s="321"/>
      <c r="E44" s="319"/>
      <c r="F44" s="320"/>
      <c r="G44" s="320"/>
      <c r="H44" s="321"/>
      <c r="I44" s="319"/>
      <c r="J44" s="320"/>
      <c r="K44" s="320"/>
      <c r="L44" s="321"/>
      <c r="M44" s="319"/>
      <c r="N44" s="320"/>
      <c r="O44" s="320"/>
      <c r="P44" s="321"/>
      <c r="Q44" s="319"/>
      <c r="R44" s="320"/>
      <c r="S44" s="320"/>
      <c r="T44" s="321"/>
    </row>
    <row r="45" spans="1:20" s="25" customFormat="1" ht="15" customHeight="1">
      <c r="A45" s="319"/>
      <c r="B45" s="320"/>
      <c r="C45" s="320"/>
      <c r="D45" s="321"/>
      <c r="E45" s="319"/>
      <c r="F45" s="320"/>
      <c r="G45" s="320"/>
      <c r="H45" s="321"/>
      <c r="I45" s="319"/>
      <c r="J45" s="320"/>
      <c r="K45" s="320"/>
      <c r="L45" s="321"/>
      <c r="M45" s="319"/>
      <c r="N45" s="320"/>
      <c r="O45" s="320"/>
      <c r="P45" s="321"/>
      <c r="Q45" s="319"/>
      <c r="R45" s="320"/>
      <c r="S45" s="320"/>
      <c r="T45" s="321"/>
    </row>
    <row r="46" spans="1:20" s="25" customFormat="1" ht="15" customHeight="1">
      <c r="A46" s="319"/>
      <c r="B46" s="320"/>
      <c r="C46" s="320"/>
      <c r="D46" s="321"/>
      <c r="E46" s="319"/>
      <c r="F46" s="320"/>
      <c r="G46" s="320"/>
      <c r="H46" s="321"/>
      <c r="I46" s="319"/>
      <c r="J46" s="320"/>
      <c r="K46" s="320"/>
      <c r="L46" s="321"/>
      <c r="M46" s="319"/>
      <c r="N46" s="320"/>
      <c r="O46" s="320"/>
      <c r="P46" s="321"/>
      <c r="Q46" s="319"/>
      <c r="R46" s="320"/>
      <c r="S46" s="320"/>
      <c r="T46" s="321"/>
    </row>
    <row r="47" spans="1:20" s="25" customFormat="1" ht="15" customHeight="1">
      <c r="A47" s="311" t="s">
        <v>334</v>
      </c>
      <c r="B47" s="312"/>
      <c r="C47" s="312"/>
      <c r="D47" s="312"/>
      <c r="E47" s="332"/>
      <c r="F47" s="336"/>
      <c r="G47" s="336"/>
      <c r="H47" s="336"/>
      <c r="I47" s="332"/>
      <c r="J47" s="336"/>
      <c r="K47" s="311" t="s">
        <v>335</v>
      </c>
      <c r="L47" s="312"/>
      <c r="M47" s="312"/>
      <c r="N47" s="312"/>
      <c r="O47" s="332"/>
      <c r="P47" s="336"/>
      <c r="Q47" s="336"/>
      <c r="R47" s="336"/>
      <c r="S47" s="332"/>
      <c r="T47" s="333"/>
    </row>
    <row r="48" spans="1:20" s="25" customFormat="1" ht="15" customHeight="1">
      <c r="A48" s="313"/>
      <c r="B48" s="314"/>
      <c r="C48" s="314"/>
      <c r="D48" s="314"/>
      <c r="E48" s="334"/>
      <c r="F48" s="334"/>
      <c r="G48" s="334"/>
      <c r="H48" s="334"/>
      <c r="I48" s="334"/>
      <c r="J48" s="334"/>
      <c r="K48" s="313"/>
      <c r="L48" s="314"/>
      <c r="M48" s="314"/>
      <c r="N48" s="314"/>
      <c r="O48" s="334"/>
      <c r="P48" s="334"/>
      <c r="Q48" s="334"/>
      <c r="R48" s="334"/>
      <c r="S48" s="334"/>
      <c r="T48" s="335"/>
    </row>
    <row r="49" spans="1:20" s="25" customFormat="1" ht="15" customHeight="1">
      <c r="A49" s="319"/>
      <c r="B49" s="320"/>
      <c r="C49" s="320"/>
      <c r="D49" s="320"/>
      <c r="E49" s="320"/>
      <c r="F49" s="320"/>
      <c r="G49" s="320"/>
      <c r="H49" s="320"/>
      <c r="I49" s="320"/>
      <c r="J49" s="321"/>
      <c r="K49" s="319"/>
      <c r="L49" s="328"/>
      <c r="M49" s="328"/>
      <c r="N49" s="328"/>
      <c r="O49" s="328"/>
      <c r="P49" s="328"/>
      <c r="Q49" s="328"/>
      <c r="R49" s="328"/>
      <c r="S49" s="328"/>
      <c r="T49" s="321"/>
    </row>
    <row r="50" spans="1:20" s="25" customFormat="1" ht="15" customHeight="1">
      <c r="A50" s="319"/>
      <c r="B50" s="320"/>
      <c r="C50" s="320"/>
      <c r="D50" s="320"/>
      <c r="E50" s="320"/>
      <c r="F50" s="320"/>
      <c r="G50" s="320"/>
      <c r="H50" s="320"/>
      <c r="I50" s="320"/>
      <c r="J50" s="321"/>
      <c r="K50" s="319"/>
      <c r="L50" s="328"/>
      <c r="M50" s="328"/>
      <c r="N50" s="328"/>
      <c r="O50" s="328"/>
      <c r="P50" s="328"/>
      <c r="Q50" s="328"/>
      <c r="R50" s="328"/>
      <c r="S50" s="328"/>
      <c r="T50" s="321"/>
    </row>
    <row r="51" spans="1:20" s="25" customFormat="1" ht="15" customHeight="1">
      <c r="A51" s="319"/>
      <c r="B51" s="320"/>
      <c r="C51" s="320"/>
      <c r="D51" s="320"/>
      <c r="E51" s="320"/>
      <c r="F51" s="320"/>
      <c r="G51" s="320"/>
      <c r="H51" s="320"/>
      <c r="I51" s="320"/>
      <c r="J51" s="321"/>
      <c r="K51" s="319"/>
      <c r="L51" s="328"/>
      <c r="M51" s="328"/>
      <c r="N51" s="328"/>
      <c r="O51" s="328"/>
      <c r="P51" s="328"/>
      <c r="Q51" s="328"/>
      <c r="R51" s="328"/>
      <c r="S51" s="328"/>
      <c r="T51" s="321"/>
    </row>
    <row r="52" spans="1:20" s="25" customFormat="1" ht="15" customHeight="1">
      <c r="A52" s="319"/>
      <c r="B52" s="320"/>
      <c r="C52" s="320"/>
      <c r="D52" s="320"/>
      <c r="E52" s="320"/>
      <c r="F52" s="320"/>
      <c r="G52" s="320"/>
      <c r="H52" s="320"/>
      <c r="I52" s="320"/>
      <c r="J52" s="321"/>
      <c r="K52" s="319"/>
      <c r="L52" s="328"/>
      <c r="M52" s="328"/>
      <c r="N52" s="328"/>
      <c r="O52" s="328"/>
      <c r="P52" s="328"/>
      <c r="Q52" s="328"/>
      <c r="R52" s="328"/>
      <c r="S52" s="328"/>
      <c r="T52" s="321"/>
    </row>
    <row r="53" spans="1:20" s="25" customFormat="1" ht="15" customHeight="1">
      <c r="A53" s="319"/>
      <c r="B53" s="320"/>
      <c r="C53" s="320"/>
      <c r="D53" s="320"/>
      <c r="E53" s="320"/>
      <c r="F53" s="320"/>
      <c r="G53" s="320"/>
      <c r="H53" s="320"/>
      <c r="I53" s="320"/>
      <c r="J53" s="321"/>
      <c r="K53" s="319"/>
      <c r="L53" s="328"/>
      <c r="M53" s="328"/>
      <c r="N53" s="328"/>
      <c r="O53" s="328"/>
      <c r="P53" s="328"/>
      <c r="Q53" s="328"/>
      <c r="R53" s="328"/>
      <c r="S53" s="328"/>
      <c r="T53" s="321"/>
    </row>
    <row r="54" spans="1:20" s="25" customFormat="1" ht="15" customHeight="1">
      <c r="A54" s="319"/>
      <c r="B54" s="320"/>
      <c r="C54" s="320"/>
      <c r="D54" s="320"/>
      <c r="E54" s="320"/>
      <c r="F54" s="320"/>
      <c r="G54" s="320"/>
      <c r="H54" s="320"/>
      <c r="I54" s="320"/>
      <c r="J54" s="321"/>
      <c r="K54" s="319"/>
      <c r="L54" s="328"/>
      <c r="M54" s="328"/>
      <c r="N54" s="328"/>
      <c r="O54" s="328"/>
      <c r="P54" s="328"/>
      <c r="Q54" s="328"/>
      <c r="R54" s="328"/>
      <c r="S54" s="328"/>
      <c r="T54" s="321"/>
    </row>
    <row r="55" spans="1:20" s="25" customFormat="1" ht="15" customHeight="1">
      <c r="A55" s="319"/>
      <c r="B55" s="320"/>
      <c r="C55" s="320"/>
      <c r="D55" s="320"/>
      <c r="E55" s="320"/>
      <c r="F55" s="320"/>
      <c r="G55" s="320"/>
      <c r="H55" s="320"/>
      <c r="I55" s="320"/>
      <c r="J55" s="321"/>
      <c r="K55" s="319"/>
      <c r="L55" s="328"/>
      <c r="M55" s="328"/>
      <c r="N55" s="328"/>
      <c r="O55" s="328"/>
      <c r="P55" s="328"/>
      <c r="Q55" s="328"/>
      <c r="R55" s="328"/>
      <c r="S55" s="328"/>
      <c r="T55" s="321"/>
    </row>
    <row r="56" spans="1:20" s="25" customFormat="1" ht="15" customHeight="1">
      <c r="A56" s="319"/>
      <c r="B56" s="320"/>
      <c r="C56" s="320"/>
      <c r="D56" s="320"/>
      <c r="E56" s="320"/>
      <c r="F56" s="320"/>
      <c r="G56" s="320"/>
      <c r="H56" s="320"/>
      <c r="I56" s="320"/>
      <c r="J56" s="321"/>
      <c r="K56" s="319"/>
      <c r="L56" s="328"/>
      <c r="M56" s="328"/>
      <c r="N56" s="328"/>
      <c r="O56" s="328"/>
      <c r="P56" s="328"/>
      <c r="Q56" s="328"/>
      <c r="R56" s="328"/>
      <c r="S56" s="328"/>
      <c r="T56" s="321"/>
    </row>
    <row r="57" spans="1:20" s="25" customFormat="1" ht="15" customHeight="1">
      <c r="A57" s="319"/>
      <c r="B57" s="320"/>
      <c r="C57" s="320"/>
      <c r="D57" s="320"/>
      <c r="E57" s="320"/>
      <c r="F57" s="320"/>
      <c r="G57" s="320"/>
      <c r="H57" s="320"/>
      <c r="I57" s="320"/>
      <c r="J57" s="321"/>
      <c r="K57" s="319"/>
      <c r="L57" s="328"/>
      <c r="M57" s="328"/>
      <c r="N57" s="328"/>
      <c r="O57" s="328"/>
      <c r="P57" s="328"/>
      <c r="Q57" s="328"/>
      <c r="R57" s="328"/>
      <c r="S57" s="328"/>
      <c r="T57" s="321"/>
    </row>
    <row r="58" spans="1:20" s="25" customFormat="1" ht="15" customHeight="1">
      <c r="A58" s="319"/>
      <c r="B58" s="320"/>
      <c r="C58" s="320"/>
      <c r="D58" s="320"/>
      <c r="E58" s="320"/>
      <c r="F58" s="320"/>
      <c r="G58" s="320"/>
      <c r="H58" s="320"/>
      <c r="I58" s="320"/>
      <c r="J58" s="321"/>
      <c r="K58" s="319"/>
      <c r="L58" s="328"/>
      <c r="M58" s="328"/>
      <c r="N58" s="328"/>
      <c r="O58" s="328"/>
      <c r="P58" s="328"/>
      <c r="Q58" s="328"/>
      <c r="R58" s="328"/>
      <c r="S58" s="328"/>
      <c r="T58" s="321"/>
    </row>
    <row r="59" spans="1:20" s="25" customFormat="1" ht="15" customHeight="1">
      <c r="A59" s="338"/>
      <c r="B59" s="339"/>
      <c r="C59" s="339"/>
      <c r="D59" s="339"/>
      <c r="E59" s="339"/>
      <c r="F59" s="339"/>
      <c r="G59" s="339"/>
      <c r="H59" s="339"/>
      <c r="I59" s="339"/>
      <c r="J59" s="340"/>
      <c r="K59" s="338"/>
      <c r="L59" s="339"/>
      <c r="M59" s="339"/>
      <c r="N59" s="339"/>
      <c r="O59" s="339"/>
      <c r="P59" s="339"/>
      <c r="Q59" s="339"/>
      <c r="R59" s="339"/>
      <c r="S59" s="339"/>
      <c r="T59" s="340"/>
    </row>
    <row r="60" spans="1:20" s="25" customFormat="1" ht="15" customHeight="1"/>
    <row r="61" spans="1:20" s="25" customFormat="1" ht="15" customHeight="1">
      <c r="A61" s="337"/>
      <c r="B61" s="337"/>
      <c r="C61" s="337"/>
      <c r="D61" s="337"/>
      <c r="E61" s="337"/>
      <c r="F61" s="337"/>
      <c r="G61" s="337"/>
      <c r="H61" s="337"/>
      <c r="I61" s="337"/>
      <c r="J61" s="337"/>
      <c r="K61" s="337"/>
      <c r="L61" s="337"/>
      <c r="M61" s="337"/>
      <c r="N61" s="337"/>
      <c r="O61" s="337"/>
      <c r="P61" s="337"/>
      <c r="Q61" s="337"/>
      <c r="R61" s="337"/>
      <c r="S61" s="337"/>
      <c r="T61" s="337"/>
    </row>
    <row r="62" spans="1:20" s="25" customFormat="1" ht="15" customHeight="1">
      <c r="A62" s="337"/>
      <c r="B62" s="337"/>
      <c r="C62" s="337"/>
      <c r="D62" s="337"/>
      <c r="E62" s="337"/>
      <c r="F62" s="337"/>
      <c r="G62" s="337"/>
      <c r="H62" s="337"/>
      <c r="I62" s="337"/>
      <c r="J62" s="337"/>
      <c r="K62" s="337"/>
      <c r="L62" s="337"/>
      <c r="M62" s="337"/>
      <c r="N62" s="337"/>
      <c r="O62" s="337"/>
      <c r="P62" s="337"/>
      <c r="Q62" s="337"/>
      <c r="R62" s="337"/>
      <c r="S62" s="337"/>
      <c r="T62" s="337"/>
    </row>
    <row r="63" spans="1:20" s="25" customFormat="1" ht="15" customHeight="1">
      <c r="A63" s="337"/>
      <c r="B63" s="337"/>
      <c r="C63" s="337"/>
      <c r="D63" s="337"/>
      <c r="E63" s="337"/>
      <c r="F63" s="337"/>
      <c r="G63" s="337"/>
      <c r="H63" s="337"/>
      <c r="I63" s="337"/>
      <c r="J63" s="337"/>
      <c r="K63" s="337"/>
      <c r="L63" s="337"/>
      <c r="M63" s="337"/>
      <c r="N63" s="337"/>
      <c r="O63" s="337"/>
      <c r="P63" s="337"/>
      <c r="Q63" s="337"/>
      <c r="R63" s="337"/>
      <c r="S63" s="337"/>
      <c r="T63" s="337"/>
    </row>
    <row r="64" spans="1:20" s="25" customFormat="1">
      <c r="A64" s="337"/>
      <c r="B64" s="337"/>
      <c r="C64" s="337"/>
      <c r="D64" s="337"/>
      <c r="E64" s="337"/>
      <c r="F64" s="337"/>
      <c r="G64" s="337"/>
      <c r="H64" s="337"/>
      <c r="I64" s="337"/>
      <c r="J64" s="337"/>
      <c r="K64" s="337"/>
      <c r="L64" s="337"/>
      <c r="M64" s="337"/>
      <c r="N64" s="337"/>
      <c r="O64" s="337"/>
      <c r="P64" s="337"/>
      <c r="Q64" s="337"/>
      <c r="R64" s="337"/>
      <c r="S64" s="337"/>
      <c r="T64" s="337"/>
    </row>
    <row r="65" spans="1:20" s="25" customFormat="1">
      <c r="A65" s="337"/>
      <c r="B65" s="337"/>
      <c r="C65" s="337"/>
      <c r="D65" s="337"/>
      <c r="E65" s="337"/>
      <c r="F65" s="337"/>
      <c r="G65" s="337"/>
      <c r="H65" s="337"/>
      <c r="I65" s="337"/>
      <c r="J65" s="337"/>
      <c r="K65" s="337"/>
      <c r="L65" s="337"/>
      <c r="M65" s="337"/>
      <c r="N65" s="337"/>
      <c r="O65" s="337"/>
      <c r="P65" s="337"/>
      <c r="Q65" s="337"/>
      <c r="R65" s="337"/>
      <c r="S65" s="337"/>
      <c r="T65" s="337"/>
    </row>
    <row r="66" spans="1:20" s="25" customFormat="1">
      <c r="A66" s="337"/>
      <c r="B66" s="337"/>
      <c r="C66" s="337"/>
      <c r="D66" s="337"/>
      <c r="E66" s="337"/>
      <c r="F66" s="337"/>
      <c r="G66" s="337"/>
      <c r="H66" s="337"/>
      <c r="I66" s="337"/>
      <c r="J66" s="337"/>
      <c r="K66" s="337"/>
      <c r="L66" s="337"/>
      <c r="M66" s="337"/>
      <c r="N66" s="337"/>
      <c r="O66" s="337"/>
      <c r="P66" s="337"/>
      <c r="Q66" s="337"/>
      <c r="R66" s="337"/>
      <c r="S66" s="337"/>
      <c r="T66" s="337"/>
    </row>
    <row r="67" spans="1:20" s="25" customFormat="1">
      <c r="A67" s="337"/>
      <c r="B67" s="337"/>
      <c r="C67" s="337"/>
      <c r="D67" s="337"/>
      <c r="E67" s="337"/>
      <c r="F67" s="337"/>
      <c r="G67" s="337"/>
      <c r="H67" s="337"/>
      <c r="I67" s="337"/>
      <c r="J67" s="337"/>
      <c r="K67" s="337"/>
      <c r="L67" s="337"/>
      <c r="M67" s="337"/>
      <c r="N67" s="337"/>
      <c r="O67" s="337"/>
      <c r="P67" s="337"/>
      <c r="Q67" s="337"/>
      <c r="R67" s="337"/>
      <c r="S67" s="337"/>
      <c r="T67" s="337"/>
    </row>
    <row r="68" spans="1:20" s="25" customFormat="1">
      <c r="A68" s="337"/>
      <c r="B68" s="337"/>
      <c r="C68" s="337"/>
      <c r="D68" s="337"/>
      <c r="E68" s="337"/>
      <c r="F68" s="337"/>
      <c r="G68" s="337"/>
      <c r="H68" s="337"/>
      <c r="I68" s="337"/>
      <c r="J68" s="337"/>
      <c r="K68" s="337"/>
      <c r="L68" s="337"/>
      <c r="M68" s="337"/>
      <c r="N68" s="337"/>
      <c r="O68" s="337"/>
      <c r="P68" s="337"/>
      <c r="Q68" s="337"/>
      <c r="R68" s="337"/>
      <c r="S68" s="337"/>
      <c r="T68" s="337"/>
    </row>
    <row r="69" spans="1:20" s="25" customFormat="1">
      <c r="A69" s="337"/>
      <c r="B69" s="337"/>
      <c r="C69" s="337"/>
      <c r="D69" s="337"/>
      <c r="E69" s="337"/>
      <c r="F69" s="337"/>
      <c r="G69" s="337"/>
      <c r="H69" s="337"/>
      <c r="I69" s="337"/>
      <c r="J69" s="337"/>
      <c r="K69" s="337"/>
      <c r="L69" s="337"/>
      <c r="M69" s="337"/>
      <c r="N69" s="337"/>
      <c r="O69" s="337"/>
      <c r="P69" s="337"/>
      <c r="Q69" s="337"/>
      <c r="R69" s="337"/>
      <c r="S69" s="337"/>
      <c r="T69" s="337"/>
    </row>
  </sheetData>
  <sheetProtection algorithmName="SHA-512" hashValue="Nzd6ClNMO80v7HP+/e3xcmTtP3S66t0kWyrAULYAwJK66tAG7z8uPMMtFmamWal1rDTxaE3LlL19t2dQdXtB5g==" saltValue="humhVD4zzp61+G244xPCCQ==" spinCount="100000" sheet="1" scenarios="1" selectLockedCells="1" selectUnlockedCells="1"/>
  <mergeCells count="226">
    <mergeCell ref="A69:T69"/>
    <mergeCell ref="A63:T63"/>
    <mergeCell ref="A64:T64"/>
    <mergeCell ref="A65:T65"/>
    <mergeCell ref="A66:T66"/>
    <mergeCell ref="A67:T67"/>
    <mergeCell ref="A68:T68"/>
    <mergeCell ref="A58:J58"/>
    <mergeCell ref="K58:T58"/>
    <mergeCell ref="A59:J59"/>
    <mergeCell ref="K59:T59"/>
    <mergeCell ref="A61:T61"/>
    <mergeCell ref="A62:T62"/>
    <mergeCell ref="A55:J55"/>
    <mergeCell ref="K55:T55"/>
    <mergeCell ref="A56:J56"/>
    <mergeCell ref="K56:T56"/>
    <mergeCell ref="A57:J57"/>
    <mergeCell ref="K57:T57"/>
    <mergeCell ref="A52:J52"/>
    <mergeCell ref="K52:T52"/>
    <mergeCell ref="A53:J53"/>
    <mergeCell ref="K53:T53"/>
    <mergeCell ref="A54:J54"/>
    <mergeCell ref="K54:T54"/>
    <mergeCell ref="S47:T48"/>
    <mergeCell ref="A49:J49"/>
    <mergeCell ref="K49:T49"/>
    <mergeCell ref="A50:J50"/>
    <mergeCell ref="K50:T50"/>
    <mergeCell ref="A51:J51"/>
    <mergeCell ref="K51:T51"/>
    <mergeCell ref="A46:D46"/>
    <mergeCell ref="E46:H46"/>
    <mergeCell ref="I46:L46"/>
    <mergeCell ref="M46:P46"/>
    <mergeCell ref="Q46:T46"/>
    <mergeCell ref="A47:D48"/>
    <mergeCell ref="E47:H48"/>
    <mergeCell ref="I47:J48"/>
    <mergeCell ref="K47:N48"/>
    <mergeCell ref="O47:R48"/>
    <mergeCell ref="A44:D44"/>
    <mergeCell ref="E44:H44"/>
    <mergeCell ref="I44:L44"/>
    <mergeCell ref="M44:P44"/>
    <mergeCell ref="Q44:T44"/>
    <mergeCell ref="A45:D45"/>
    <mergeCell ref="E45:H45"/>
    <mergeCell ref="I45:L45"/>
    <mergeCell ref="M45:P45"/>
    <mergeCell ref="Q45:T45"/>
    <mergeCell ref="A42:D42"/>
    <mergeCell ref="E42:H42"/>
    <mergeCell ref="I42:L42"/>
    <mergeCell ref="M42:P42"/>
    <mergeCell ref="Q42:T42"/>
    <mergeCell ref="A43:D43"/>
    <mergeCell ref="E43:H43"/>
    <mergeCell ref="I43:L43"/>
    <mergeCell ref="M43:P43"/>
    <mergeCell ref="Q43:T43"/>
    <mergeCell ref="A40:D40"/>
    <mergeCell ref="E40:H40"/>
    <mergeCell ref="I40:L40"/>
    <mergeCell ref="M40:P40"/>
    <mergeCell ref="Q40:T40"/>
    <mergeCell ref="A41:D41"/>
    <mergeCell ref="E41:H41"/>
    <mergeCell ref="I41:L41"/>
    <mergeCell ref="M41:P41"/>
    <mergeCell ref="Q41:T41"/>
    <mergeCell ref="A38:D38"/>
    <mergeCell ref="E38:H38"/>
    <mergeCell ref="I38:L38"/>
    <mergeCell ref="M38:P38"/>
    <mergeCell ref="Q38:T38"/>
    <mergeCell ref="A39:D39"/>
    <mergeCell ref="E39:H39"/>
    <mergeCell ref="I39:L39"/>
    <mergeCell ref="M39:P39"/>
    <mergeCell ref="Q39:T39"/>
    <mergeCell ref="A36:D36"/>
    <mergeCell ref="E36:H36"/>
    <mergeCell ref="I36:L36"/>
    <mergeCell ref="M36:P36"/>
    <mergeCell ref="Q36:T36"/>
    <mergeCell ref="A37:D37"/>
    <mergeCell ref="E37:H37"/>
    <mergeCell ref="I37:L37"/>
    <mergeCell ref="M37:P37"/>
    <mergeCell ref="Q37:T37"/>
    <mergeCell ref="A34:D34"/>
    <mergeCell ref="E34:H34"/>
    <mergeCell ref="I34:L34"/>
    <mergeCell ref="M34:P34"/>
    <mergeCell ref="Q34:T34"/>
    <mergeCell ref="A35:D35"/>
    <mergeCell ref="E35:H35"/>
    <mergeCell ref="I35:L35"/>
    <mergeCell ref="M35:P35"/>
    <mergeCell ref="Q35:T35"/>
    <mergeCell ref="A32:D32"/>
    <mergeCell ref="E32:H32"/>
    <mergeCell ref="I32:L32"/>
    <mergeCell ref="M32:P32"/>
    <mergeCell ref="Q32:T32"/>
    <mergeCell ref="A33:D33"/>
    <mergeCell ref="E33:H33"/>
    <mergeCell ref="I33:L33"/>
    <mergeCell ref="M33:P33"/>
    <mergeCell ref="Q33:T33"/>
    <mergeCell ref="A30:D30"/>
    <mergeCell ref="E30:H30"/>
    <mergeCell ref="I30:L30"/>
    <mergeCell ref="M30:P30"/>
    <mergeCell ref="Q30:T30"/>
    <mergeCell ref="A31:D31"/>
    <mergeCell ref="E31:H31"/>
    <mergeCell ref="I31:L31"/>
    <mergeCell ref="M31:P31"/>
    <mergeCell ref="Q31:T31"/>
    <mergeCell ref="A27:D28"/>
    <mergeCell ref="E27:H28"/>
    <mergeCell ref="I27:L28"/>
    <mergeCell ref="M27:P28"/>
    <mergeCell ref="Q27:T28"/>
    <mergeCell ref="A29:D29"/>
    <mergeCell ref="E29:H29"/>
    <mergeCell ref="I29:L29"/>
    <mergeCell ref="M29:P29"/>
    <mergeCell ref="Q29:T29"/>
    <mergeCell ref="A25:D25"/>
    <mergeCell ref="E25:H25"/>
    <mergeCell ref="I25:L25"/>
    <mergeCell ref="M25:P25"/>
    <mergeCell ref="Q25:T25"/>
    <mergeCell ref="A26:D26"/>
    <mergeCell ref="E26:H26"/>
    <mergeCell ref="I26:L26"/>
    <mergeCell ref="M26:P26"/>
    <mergeCell ref="Q26:T26"/>
    <mergeCell ref="A23:D23"/>
    <mergeCell ref="E23:H23"/>
    <mergeCell ref="I23:L23"/>
    <mergeCell ref="M23:P23"/>
    <mergeCell ref="Q23:T23"/>
    <mergeCell ref="A24:D24"/>
    <mergeCell ref="E24:H24"/>
    <mergeCell ref="I24:L24"/>
    <mergeCell ref="M24:P24"/>
    <mergeCell ref="Q24:T24"/>
    <mergeCell ref="A21:D21"/>
    <mergeCell ref="E21:H21"/>
    <mergeCell ref="I21:L21"/>
    <mergeCell ref="M21:P21"/>
    <mergeCell ref="Q21:T21"/>
    <mergeCell ref="A22:D22"/>
    <mergeCell ref="E22:H22"/>
    <mergeCell ref="I22:L22"/>
    <mergeCell ref="M22:P22"/>
    <mergeCell ref="Q22:T22"/>
    <mergeCell ref="A19:D19"/>
    <mergeCell ref="E19:H19"/>
    <mergeCell ref="I19:L19"/>
    <mergeCell ref="M19:P19"/>
    <mergeCell ref="Q19:T19"/>
    <mergeCell ref="A20:D20"/>
    <mergeCell ref="E20:H20"/>
    <mergeCell ref="I20:L20"/>
    <mergeCell ref="M20:P20"/>
    <mergeCell ref="Q20:T20"/>
    <mergeCell ref="A17:D17"/>
    <mergeCell ref="E17:H17"/>
    <mergeCell ref="I17:L17"/>
    <mergeCell ref="M17:P17"/>
    <mergeCell ref="Q17:T17"/>
    <mergeCell ref="A18:D18"/>
    <mergeCell ref="E18:H18"/>
    <mergeCell ref="I18:L18"/>
    <mergeCell ref="M18:P18"/>
    <mergeCell ref="Q18:T18"/>
    <mergeCell ref="A15:D15"/>
    <mergeCell ref="E15:H15"/>
    <mergeCell ref="I15:L15"/>
    <mergeCell ref="M15:P15"/>
    <mergeCell ref="Q15:T15"/>
    <mergeCell ref="A16:D16"/>
    <mergeCell ref="E16:H16"/>
    <mergeCell ref="I16:L16"/>
    <mergeCell ref="M16:P16"/>
    <mergeCell ref="Q16:T16"/>
    <mergeCell ref="A13:D13"/>
    <mergeCell ref="E13:H13"/>
    <mergeCell ref="I13:L13"/>
    <mergeCell ref="M13:P13"/>
    <mergeCell ref="Q13:T13"/>
    <mergeCell ref="A14:D14"/>
    <mergeCell ref="E14:H14"/>
    <mergeCell ref="I14:L14"/>
    <mergeCell ref="M14:P14"/>
    <mergeCell ref="Q14:T14"/>
    <mergeCell ref="A11:D11"/>
    <mergeCell ref="E11:H11"/>
    <mergeCell ref="I11:L11"/>
    <mergeCell ref="M11:P11"/>
    <mergeCell ref="Q11:T11"/>
    <mergeCell ref="A12:D12"/>
    <mergeCell ref="E12:H12"/>
    <mergeCell ref="I12:L12"/>
    <mergeCell ref="M12:P12"/>
    <mergeCell ref="Q12:T12"/>
    <mergeCell ref="I1:O4"/>
    <mergeCell ref="Q1:T4"/>
    <mergeCell ref="A2:G4"/>
    <mergeCell ref="A7:D8"/>
    <mergeCell ref="E7:H8"/>
    <mergeCell ref="M7:P8"/>
    <mergeCell ref="A9:D9"/>
    <mergeCell ref="E9:H9"/>
    <mergeCell ref="M9:P9"/>
    <mergeCell ref="I7:L10"/>
    <mergeCell ref="Q7:T10"/>
    <mergeCell ref="A10:D10"/>
    <mergeCell ref="E10:H10"/>
    <mergeCell ref="M10:P10"/>
  </mergeCells>
  <phoneticPr fontId="6" type="noConversion"/>
  <printOptions horizontalCentered="1" verticalCentered="1"/>
  <pageMargins left="0.39370078740157483" right="0.39370078740157483" top="0.39370078740157483" bottom="0.39370078740157483" header="0.39370078740157483" footer="0.39370078740157483"/>
  <pageSetup paperSize="9" scale="60" orientation="landscape" horizontalDpi="4294967292" verticalDpi="4294967292"/>
  <drawing r:id="rId1"/>
  <legacyDrawing r:id="rId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8">
    <tabColor theme="0"/>
    <pageSetUpPr fitToPage="1"/>
  </sheetPr>
  <dimension ref="A1:E48"/>
  <sheetViews>
    <sheetView showZeros="0" topLeftCell="A17" workbookViewId="0">
      <selection activeCell="B37" sqref="B37"/>
    </sheetView>
  </sheetViews>
  <sheetFormatPr baseColWidth="10" defaultColWidth="10.84375" defaultRowHeight="12.9"/>
  <cols>
    <col min="1" max="1" width="43" style="29" bestFit="1" customWidth="1"/>
    <col min="2" max="2" width="43.69140625" style="29" customWidth="1"/>
    <col min="3" max="5" width="12.69140625" style="29" customWidth="1"/>
    <col min="6" max="16384" width="10.84375" style="29"/>
  </cols>
  <sheetData>
    <row r="1" spans="1:5" ht="36" customHeight="1">
      <c r="A1" s="341" t="s">
        <v>94</v>
      </c>
      <c r="B1" s="341"/>
      <c r="C1" s="8"/>
      <c r="D1" s="8"/>
      <c r="E1" s="8"/>
    </row>
    <row r="2" spans="1:5">
      <c r="A2" s="8"/>
      <c r="B2" s="8"/>
      <c r="C2" s="8"/>
      <c r="D2" s="8"/>
      <c r="E2" s="30" t="s">
        <v>222</v>
      </c>
    </row>
    <row r="3" spans="1:5" ht="14.15">
      <c r="A3" s="342" t="s">
        <v>234</v>
      </c>
      <c r="B3" s="342"/>
      <c r="C3" s="8"/>
      <c r="D3" s="8"/>
      <c r="E3" s="30" t="s">
        <v>224</v>
      </c>
    </row>
    <row r="4" spans="1:5" ht="7.5" customHeight="1">
      <c r="A4" s="31"/>
      <c r="B4" s="32"/>
      <c r="C4" s="8"/>
      <c r="D4" s="8"/>
      <c r="E4" s="30"/>
    </row>
    <row r="5" spans="1:5" ht="14.15">
      <c r="A5" s="31" t="s">
        <v>60</v>
      </c>
      <c r="B5" s="238" t="s">
        <v>382</v>
      </c>
      <c r="C5" s="8"/>
      <c r="D5" s="8"/>
      <c r="E5" s="30"/>
    </row>
    <row r="6" spans="1:5" ht="14.15">
      <c r="A6" s="31" t="s">
        <v>132</v>
      </c>
      <c r="B6" s="238" t="s">
        <v>383</v>
      </c>
      <c r="C6" s="8"/>
      <c r="D6" s="8"/>
      <c r="E6" s="8"/>
    </row>
    <row r="7" spans="1:5" ht="14.15">
      <c r="A7" s="31" t="s">
        <v>55</v>
      </c>
      <c r="B7" s="238" t="s">
        <v>375</v>
      </c>
      <c r="C7" s="8"/>
      <c r="D7" s="8"/>
      <c r="E7" s="8"/>
    </row>
    <row r="8" spans="1:5" ht="14.15">
      <c r="A8" s="31" t="s">
        <v>221</v>
      </c>
      <c r="B8" s="33" t="s">
        <v>222</v>
      </c>
      <c r="C8" s="8"/>
      <c r="D8" s="30" t="s">
        <v>239</v>
      </c>
      <c r="E8" s="8"/>
    </row>
    <row r="9" spans="1:5" ht="14.15">
      <c r="A9" s="31" t="s">
        <v>61</v>
      </c>
      <c r="B9" s="238" t="s">
        <v>385</v>
      </c>
      <c r="C9" s="8"/>
      <c r="D9" s="30" t="s">
        <v>240</v>
      </c>
      <c r="E9" s="8"/>
    </row>
    <row r="10" spans="1:5" ht="14.15">
      <c r="A10" s="31" t="s">
        <v>53</v>
      </c>
      <c r="B10" s="239" t="s">
        <v>385</v>
      </c>
      <c r="C10" s="8"/>
      <c r="D10" s="30" t="s">
        <v>137</v>
      </c>
      <c r="E10" s="8"/>
    </row>
    <row r="11" spans="1:5" ht="14.15">
      <c r="A11" s="31"/>
      <c r="B11" s="34"/>
      <c r="C11" s="8"/>
      <c r="D11" s="30" t="s">
        <v>138</v>
      </c>
      <c r="E11" s="8"/>
    </row>
    <row r="12" spans="1:5" ht="14.15">
      <c r="A12" s="35"/>
      <c r="B12" s="36"/>
      <c r="C12" s="8"/>
      <c r="D12" s="8"/>
      <c r="E12" s="8"/>
    </row>
    <row r="13" spans="1:5" ht="14.15">
      <c r="A13" s="342" t="s">
        <v>235</v>
      </c>
      <c r="B13" s="342"/>
      <c r="C13" s="8"/>
      <c r="D13" s="8"/>
      <c r="E13" s="8"/>
    </row>
    <row r="14" spans="1:5" ht="7.5" customHeight="1">
      <c r="A14" s="35"/>
      <c r="B14" s="36"/>
      <c r="C14" s="8"/>
      <c r="D14" s="8"/>
      <c r="E14" s="8"/>
    </row>
    <row r="15" spans="1:5" ht="14.25" customHeight="1">
      <c r="A15" s="35" t="s">
        <v>139</v>
      </c>
      <c r="B15" s="238" t="s">
        <v>386</v>
      </c>
      <c r="C15" s="8"/>
      <c r="D15" s="8"/>
      <c r="E15" s="8"/>
    </row>
    <row r="16" spans="1:5" ht="14.25" customHeight="1">
      <c r="A16" s="35" t="s">
        <v>140</v>
      </c>
      <c r="B16" s="238" t="s">
        <v>383</v>
      </c>
      <c r="C16" s="8"/>
      <c r="D16" s="8"/>
      <c r="E16" s="8"/>
    </row>
    <row r="17" spans="1:5" ht="14.25" customHeight="1">
      <c r="A17" s="35" t="s">
        <v>55</v>
      </c>
      <c r="B17" s="238" t="s">
        <v>375</v>
      </c>
      <c r="C17" s="8"/>
      <c r="D17" s="8"/>
      <c r="E17" s="8"/>
    </row>
    <row r="18" spans="1:5" ht="14.25" customHeight="1">
      <c r="A18" s="35" t="s">
        <v>143</v>
      </c>
      <c r="B18" s="238" t="s">
        <v>387</v>
      </c>
      <c r="C18" s="8"/>
      <c r="D18" s="8"/>
      <c r="E18" s="8"/>
    </row>
    <row r="19" spans="1:5" ht="14.25" customHeight="1">
      <c r="A19" s="35" t="s">
        <v>141</v>
      </c>
      <c r="B19" s="238" t="s">
        <v>387</v>
      </c>
      <c r="C19" s="8"/>
      <c r="D19" s="8"/>
      <c r="E19" s="8"/>
    </row>
    <row r="20" spans="1:5" ht="14.25" customHeight="1">
      <c r="A20" s="35" t="s">
        <v>113</v>
      </c>
      <c r="B20" s="240" t="s">
        <v>388</v>
      </c>
      <c r="C20" s="8"/>
      <c r="D20" s="8"/>
      <c r="E20" s="8"/>
    </row>
    <row r="21" spans="1:5" ht="14.25" customHeight="1">
      <c r="A21" s="35" t="s">
        <v>142</v>
      </c>
      <c r="B21" s="240" t="s">
        <v>389</v>
      </c>
      <c r="C21" s="8"/>
      <c r="D21" s="8"/>
      <c r="E21" s="8"/>
    </row>
    <row r="22" spans="1:5" ht="14.25" customHeight="1">
      <c r="A22" s="35"/>
      <c r="B22" s="34"/>
      <c r="C22" s="8"/>
      <c r="D22" s="8"/>
      <c r="E22" s="8"/>
    </row>
    <row r="23" spans="1:5" ht="14.15">
      <c r="A23" s="35" t="s">
        <v>136</v>
      </c>
      <c r="B23" s="33" t="s">
        <v>239</v>
      </c>
      <c r="C23" s="8"/>
    </row>
    <row r="24" spans="1:5" ht="14.15">
      <c r="A24" s="35"/>
      <c r="B24" s="37"/>
      <c r="C24" s="8"/>
    </row>
    <row r="25" spans="1:5" ht="14.15">
      <c r="A25" s="35" t="s">
        <v>54</v>
      </c>
      <c r="B25" s="38">
        <v>44197</v>
      </c>
      <c r="C25" s="8"/>
    </row>
    <row r="26" spans="1:5" ht="14.15">
      <c r="A26" s="35" t="s">
        <v>57</v>
      </c>
      <c r="B26" s="38">
        <v>44561</v>
      </c>
      <c r="C26" s="8"/>
    </row>
    <row r="27" spans="1:5" ht="14.15">
      <c r="A27" s="35" t="s">
        <v>56</v>
      </c>
      <c r="B27" s="45">
        <f>((YEAR(B26)-YEAR(B25))*12+MONTH(B26)-MONTH(B25))+1</f>
        <v>12</v>
      </c>
      <c r="C27" s="39"/>
    </row>
    <row r="28" spans="1:5" ht="14.15">
      <c r="A28" s="31"/>
      <c r="B28" s="37"/>
      <c r="C28" s="39"/>
    </row>
    <row r="29" spans="1:5" ht="14.15">
      <c r="A29" s="35" t="s">
        <v>236</v>
      </c>
      <c r="B29" s="33">
        <v>12</v>
      </c>
      <c r="C29" s="39"/>
      <c r="D29" s="39"/>
      <c r="E29" s="8"/>
    </row>
    <row r="30" spans="1:5" ht="14.15">
      <c r="A30" s="35" t="s">
        <v>58</v>
      </c>
      <c r="B30" s="33">
        <v>7</v>
      </c>
      <c r="C30" s="39"/>
      <c r="D30" s="39"/>
      <c r="E30" s="8"/>
    </row>
    <row r="31" spans="1:5" ht="14.15">
      <c r="A31" s="35"/>
      <c r="B31" s="36"/>
      <c r="C31" s="8"/>
      <c r="D31" s="8"/>
      <c r="E31" s="8"/>
    </row>
    <row r="32" spans="1:5" ht="14.15">
      <c r="A32" s="47" t="s">
        <v>115</v>
      </c>
      <c r="B32" s="49">
        <f>21.7/5*B30</f>
        <v>30.38</v>
      </c>
      <c r="C32" s="8"/>
      <c r="D32" s="8"/>
      <c r="E32" s="8"/>
    </row>
    <row r="33" spans="1:5" ht="14.15">
      <c r="A33" s="47" t="s">
        <v>59</v>
      </c>
      <c r="B33" s="50">
        <f>(B32*B27)/12*B29</f>
        <v>364.56</v>
      </c>
      <c r="C33" s="8"/>
      <c r="D33" s="8"/>
      <c r="E33" s="8"/>
    </row>
    <row r="34" spans="1:5" ht="14.15">
      <c r="A34" s="35"/>
      <c r="B34" s="36"/>
    </row>
    <row r="35" spans="1:5" ht="14.15">
      <c r="A35" s="35" t="s">
        <v>323</v>
      </c>
      <c r="B35" s="40">
        <v>0.15</v>
      </c>
    </row>
    <row r="36" spans="1:5" ht="14.15">
      <c r="A36" s="35" t="s">
        <v>324</v>
      </c>
      <c r="B36" s="40">
        <v>0</v>
      </c>
    </row>
    <row r="37" spans="1:5" ht="14.15">
      <c r="A37" s="35" t="s">
        <v>237</v>
      </c>
      <c r="B37" s="41">
        <v>0</v>
      </c>
    </row>
    <row r="38" spans="1:5" ht="14.15">
      <c r="A38" s="35" t="s">
        <v>238</v>
      </c>
      <c r="B38" s="41">
        <v>3.5000000000000003E-2</v>
      </c>
    </row>
    <row r="39" spans="1:5" ht="14.15">
      <c r="A39" s="35" t="s">
        <v>319</v>
      </c>
      <c r="B39" s="41"/>
    </row>
    <row r="42" spans="1:5" ht="14.15">
      <c r="A42" s="342" t="s">
        <v>308</v>
      </c>
      <c r="B42" s="342"/>
    </row>
    <row r="43" spans="1:5">
      <c r="A43" s="8"/>
      <c r="B43" s="46" t="s">
        <v>340</v>
      </c>
    </row>
    <row r="44" spans="1:5">
      <c r="A44" s="8" t="s">
        <v>305</v>
      </c>
      <c r="B44" s="48"/>
    </row>
    <row r="45" spans="1:5">
      <c r="A45" s="8" t="s">
        <v>306</v>
      </c>
      <c r="B45" s="48"/>
    </row>
    <row r="46" spans="1:5">
      <c r="A46" s="8" t="s">
        <v>307</v>
      </c>
      <c r="B46" s="48"/>
    </row>
    <row r="47" spans="1:5">
      <c r="A47" s="18"/>
      <c r="B47" s="42"/>
      <c r="C47" s="18"/>
    </row>
    <row r="48" spans="1:5">
      <c r="A48" s="43" t="s">
        <v>309</v>
      </c>
      <c r="B48" s="44">
        <f>SUM(B44:B46)</f>
        <v>0</v>
      </c>
      <c r="C48" s="18"/>
    </row>
  </sheetData>
  <sheetProtection algorithmName="SHA-512" hashValue="vj65kJLhXBto6pPL16JOkSfYJzswLFI/lm3O7bs64X2nw0gcCoe/1G1TiKq+GpVLRBi+GUtvVsUHCiREfPLi7A==" saltValue="KrAZ7OTLIOaCYIm54MParw==" spinCount="100000" sheet="1" objects="1" scenarios="1"/>
  <mergeCells count="4">
    <mergeCell ref="A1:B1"/>
    <mergeCell ref="A3:B3"/>
    <mergeCell ref="A13:B13"/>
    <mergeCell ref="A42:B42"/>
  </mergeCells>
  <phoneticPr fontId="0" type="noConversion"/>
  <dataValidations count="2">
    <dataValidation type="list" allowBlank="1" showInputMessage="1" showErrorMessage="1" sqref="B23" xr:uid="{00000000-0002-0000-0400-000000000000}">
      <formula1>$D$8:$D$11</formula1>
    </dataValidation>
    <dataValidation type="list" allowBlank="1" showInputMessage="1" showErrorMessage="1" sqref="B8" xr:uid="{00000000-0002-0000-0400-000001000000}">
      <formula1>$E$2:$E$3</formula1>
    </dataValidation>
  </dataValidations>
  <printOptions horizontalCentered="1"/>
  <pageMargins left="0.78740157480314965" right="0.78740157480314965" top="0.98425196850393704" bottom="0.78740157480314965" header="0.51181102362204722" footer="0.39370078740157483"/>
  <pageSetup paperSize="9" scale="99" orientation="portrait" r:id="rId1"/>
  <headerFooter scaleWithDoc="0">
    <oddFooter>&amp;R2</oddFooter>
  </headerFooter>
  <drawing r:id="rId2"/>
  <legacyDrawing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0"/>
    <pageSetUpPr fitToPage="1"/>
  </sheetPr>
  <dimension ref="A1:B51"/>
  <sheetViews>
    <sheetView topLeftCell="A19" workbookViewId="0">
      <selection activeCell="A23" sqref="A23:B30"/>
    </sheetView>
  </sheetViews>
  <sheetFormatPr baseColWidth="10" defaultColWidth="10.84375" defaultRowHeight="12.9"/>
  <cols>
    <col min="1" max="2" width="43.84375" style="18" customWidth="1"/>
    <col min="3" max="256" width="9.15234375" style="18" customWidth="1"/>
    <col min="257" max="16384" width="10.84375" style="18"/>
  </cols>
  <sheetData>
    <row r="1" spans="1:2" ht="36" customHeight="1">
      <c r="A1" s="341" t="s">
        <v>262</v>
      </c>
      <c r="B1" s="341"/>
    </row>
    <row r="4" spans="1:2" ht="15.75" customHeight="1">
      <c r="A4" s="346" t="s">
        <v>65</v>
      </c>
      <c r="B4" s="346"/>
    </row>
    <row r="5" spans="1:2" ht="13.5" customHeight="1">
      <c r="A5" s="347" t="s">
        <v>489</v>
      </c>
      <c r="B5" s="347"/>
    </row>
    <row r="6" spans="1:2" ht="13.5" customHeight="1">
      <c r="A6" s="348"/>
      <c r="B6" s="348"/>
    </row>
    <row r="7" spans="1:2" ht="13.5" customHeight="1">
      <c r="A7" s="348"/>
      <c r="B7" s="348"/>
    </row>
    <row r="8" spans="1:2" ht="13.5" customHeight="1">
      <c r="A8" s="348"/>
      <c r="B8" s="348"/>
    </row>
    <row r="9" spans="1:2" ht="13.5" customHeight="1">
      <c r="A9" s="348"/>
      <c r="B9" s="348"/>
    </row>
    <row r="10" spans="1:2" ht="13.5" customHeight="1">
      <c r="A10" s="348"/>
      <c r="B10" s="348"/>
    </row>
    <row r="11" spans="1:2" ht="13.5" customHeight="1">
      <c r="A11" s="348"/>
      <c r="B11" s="348"/>
    </row>
    <row r="12" spans="1:2" ht="13.5" customHeight="1">
      <c r="A12" s="348"/>
      <c r="B12" s="348"/>
    </row>
    <row r="13" spans="1:2" ht="15.75" customHeight="1">
      <c r="A13" s="346" t="s">
        <v>62</v>
      </c>
      <c r="B13" s="346"/>
    </row>
    <row r="14" spans="1:2" ht="13.5" customHeight="1">
      <c r="A14" s="347" t="s">
        <v>390</v>
      </c>
      <c r="B14" s="347"/>
    </row>
    <row r="15" spans="1:2" ht="13.5" customHeight="1">
      <c r="A15" s="348"/>
      <c r="B15" s="348"/>
    </row>
    <row r="16" spans="1:2" ht="13.5" customHeight="1">
      <c r="A16" s="348"/>
      <c r="B16" s="348"/>
    </row>
    <row r="17" spans="1:2" ht="13.5" customHeight="1">
      <c r="A17" s="348"/>
      <c r="B17" s="348"/>
    </row>
    <row r="18" spans="1:2" ht="13.5" customHeight="1">
      <c r="A18" s="348"/>
      <c r="B18" s="348"/>
    </row>
    <row r="19" spans="1:2" ht="13.5" customHeight="1">
      <c r="A19" s="348"/>
      <c r="B19" s="348"/>
    </row>
    <row r="20" spans="1:2" ht="13.5" customHeight="1">
      <c r="A20" s="348"/>
      <c r="B20" s="348"/>
    </row>
    <row r="21" spans="1:2" ht="13.5" customHeight="1">
      <c r="A21" s="348"/>
      <c r="B21" s="348"/>
    </row>
    <row r="22" spans="1:2" ht="14.15">
      <c r="A22" s="346" t="s">
        <v>66</v>
      </c>
      <c r="B22" s="346"/>
    </row>
    <row r="23" spans="1:2" ht="13.5" customHeight="1">
      <c r="A23" s="349" t="s">
        <v>391</v>
      </c>
      <c r="B23" s="350"/>
    </row>
    <row r="24" spans="1:2" ht="13.5" customHeight="1">
      <c r="A24" s="351"/>
      <c r="B24" s="351"/>
    </row>
    <row r="25" spans="1:2" ht="13.5" customHeight="1">
      <c r="A25" s="351"/>
      <c r="B25" s="351"/>
    </row>
    <row r="26" spans="1:2" ht="13.5" customHeight="1">
      <c r="A26" s="351"/>
      <c r="B26" s="351"/>
    </row>
    <row r="27" spans="1:2" ht="13.5" customHeight="1">
      <c r="A27" s="351"/>
      <c r="B27" s="351"/>
    </row>
    <row r="28" spans="1:2" ht="13.5" customHeight="1">
      <c r="A28" s="351"/>
      <c r="B28" s="351"/>
    </row>
    <row r="29" spans="1:2" ht="13.5" customHeight="1">
      <c r="A29" s="351"/>
      <c r="B29" s="351"/>
    </row>
    <row r="30" spans="1:2" ht="13.5" customHeight="1">
      <c r="A30" s="351"/>
      <c r="B30" s="351"/>
    </row>
    <row r="31" spans="1:2" ht="15.75" customHeight="1">
      <c r="A31" s="346" t="s">
        <v>63</v>
      </c>
      <c r="B31" s="346"/>
    </row>
    <row r="32" spans="1:2" ht="13.5" customHeight="1">
      <c r="A32" s="349" t="s">
        <v>392</v>
      </c>
      <c r="B32" s="350"/>
    </row>
    <row r="33" spans="1:2" ht="13.5" customHeight="1">
      <c r="A33" s="351"/>
      <c r="B33" s="351"/>
    </row>
    <row r="34" spans="1:2" ht="13.5" customHeight="1">
      <c r="A34" s="351"/>
      <c r="B34" s="351"/>
    </row>
    <row r="35" spans="1:2" ht="13.5" customHeight="1">
      <c r="A35" s="351"/>
      <c r="B35" s="351"/>
    </row>
    <row r="36" spans="1:2" ht="13.5" customHeight="1">
      <c r="A36" s="351"/>
      <c r="B36" s="351"/>
    </row>
    <row r="37" spans="1:2" ht="13.5" customHeight="1">
      <c r="A37" s="351"/>
      <c r="B37" s="351"/>
    </row>
    <row r="38" spans="1:2" ht="13.5" customHeight="1">
      <c r="A38" s="351"/>
      <c r="B38" s="351"/>
    </row>
    <row r="39" spans="1:2" ht="13.5" customHeight="1">
      <c r="A39" s="351"/>
      <c r="B39" s="351"/>
    </row>
    <row r="40" spans="1:2" ht="12.75" customHeight="1">
      <c r="A40" s="351"/>
      <c r="B40" s="351"/>
    </row>
    <row r="41" spans="1:2" ht="12.75" customHeight="1">
      <c r="A41" s="351"/>
      <c r="B41" s="351"/>
    </row>
    <row r="42" spans="1:2" ht="12.75" customHeight="1">
      <c r="A42" s="351"/>
      <c r="B42" s="351"/>
    </row>
    <row r="43" spans="1:2" ht="15.75" customHeight="1">
      <c r="A43" s="87" t="s">
        <v>336</v>
      </c>
      <c r="B43" s="88" t="s">
        <v>286</v>
      </c>
    </row>
    <row r="44" spans="1:2" ht="16" customHeight="1">
      <c r="A44" s="343" t="s">
        <v>394</v>
      </c>
      <c r="B44" s="343" t="s">
        <v>393</v>
      </c>
    </row>
    <row r="45" spans="1:2" ht="16" customHeight="1">
      <c r="A45" s="344"/>
      <c r="B45" s="344"/>
    </row>
    <row r="46" spans="1:2" ht="16" customHeight="1">
      <c r="A46" s="344"/>
      <c r="B46" s="344"/>
    </row>
    <row r="47" spans="1:2" ht="16" customHeight="1">
      <c r="A47" s="344"/>
      <c r="B47" s="344"/>
    </row>
    <row r="48" spans="1:2" ht="16" customHeight="1">
      <c r="A48" s="344"/>
      <c r="B48" s="344"/>
    </row>
    <row r="49" spans="1:2" ht="16" customHeight="1">
      <c r="A49" s="345"/>
      <c r="B49" s="345"/>
    </row>
    <row r="50" spans="1:2" ht="16" customHeight="1"/>
    <row r="51" spans="1:2" ht="16" customHeight="1"/>
  </sheetData>
  <sheetProtection password="C628" sheet="1" objects="1" scenarios="1"/>
  <mergeCells count="11">
    <mergeCell ref="A44:A49"/>
    <mergeCell ref="B44:B49"/>
    <mergeCell ref="A1:B1"/>
    <mergeCell ref="A4:B4"/>
    <mergeCell ref="A5:B12"/>
    <mergeCell ref="A13:B13"/>
    <mergeCell ref="A32:B42"/>
    <mergeCell ref="A22:B22"/>
    <mergeCell ref="A31:B31"/>
    <mergeCell ref="A23:B30"/>
    <mergeCell ref="A14:B21"/>
  </mergeCells>
  <phoneticPr fontId="6" type="noConversion"/>
  <pageMargins left="0.78740157480314965" right="0.78740157480314965" top="0.98425196850393704" bottom="0.78740157480314965" header="0.51181102362204722" footer="0.39370078740157483"/>
  <pageSetup paperSize="9" scale="99" orientation="portrait" r:id="rId1"/>
  <headerFooter scaleWithDoc="0">
    <oddFooter>&amp;R3</oddFooter>
  </headerFooter>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0"/>
    <pageSetUpPr fitToPage="1"/>
  </sheetPr>
  <dimension ref="A1:N36"/>
  <sheetViews>
    <sheetView showZeros="0" topLeftCell="A4" workbookViewId="0">
      <selection activeCell="H22" sqref="H22"/>
    </sheetView>
  </sheetViews>
  <sheetFormatPr baseColWidth="10" defaultColWidth="10.84375" defaultRowHeight="12.9"/>
  <cols>
    <col min="1" max="1" width="19.3828125" style="18" customWidth="1"/>
    <col min="2" max="2" width="25.69140625" style="18" customWidth="1"/>
    <col min="3" max="3" width="23" style="18" customWidth="1"/>
    <col min="4" max="4" width="22.3828125" style="18" customWidth="1"/>
    <col min="5" max="5" width="10.3828125" style="18" customWidth="1"/>
    <col min="6" max="6" width="15.3828125" style="18" customWidth="1"/>
    <col min="7" max="8" width="16" style="18" customWidth="1"/>
    <col min="9" max="9" width="7.84375" style="18" customWidth="1"/>
    <col min="10" max="257" width="9.15234375" style="18" customWidth="1"/>
    <col min="258" max="16384" width="10.84375" style="18"/>
  </cols>
  <sheetData>
    <row r="1" spans="1:14" ht="36" customHeight="1">
      <c r="A1" s="341" t="s">
        <v>252</v>
      </c>
      <c r="B1" s="341"/>
      <c r="C1" s="341"/>
      <c r="D1" s="341"/>
      <c r="E1" s="341"/>
      <c r="F1" s="341"/>
      <c r="G1" s="341"/>
      <c r="H1" s="341"/>
      <c r="I1" s="51"/>
      <c r="J1" s="51"/>
    </row>
    <row r="2" spans="1:14">
      <c r="I2" s="52"/>
      <c r="J2" s="52"/>
      <c r="K2" s="52"/>
      <c r="L2" s="52"/>
    </row>
    <row r="3" spans="1:14" ht="15" customHeight="1">
      <c r="A3" s="352" t="s">
        <v>144</v>
      </c>
      <c r="B3" s="352"/>
      <c r="C3" s="352"/>
      <c r="D3" s="352"/>
      <c r="E3" s="352"/>
      <c r="F3" s="352"/>
      <c r="G3" s="352"/>
      <c r="H3" s="352"/>
      <c r="I3" s="52"/>
      <c r="J3" s="52"/>
      <c r="K3" s="52"/>
      <c r="L3" s="52"/>
      <c r="M3" s="52"/>
      <c r="N3" s="52"/>
    </row>
    <row r="4" spans="1:14" ht="25.75">
      <c r="A4" s="67" t="s">
        <v>145</v>
      </c>
      <c r="B4" s="353" t="s">
        <v>147</v>
      </c>
      <c r="C4" s="353"/>
      <c r="D4" s="67" t="s">
        <v>64</v>
      </c>
      <c r="E4" s="67" t="s">
        <v>146</v>
      </c>
      <c r="F4" s="67" t="s">
        <v>322</v>
      </c>
      <c r="G4" s="67" t="s">
        <v>320</v>
      </c>
      <c r="H4" s="67" t="s">
        <v>321</v>
      </c>
      <c r="I4" s="53" t="s">
        <v>326</v>
      </c>
      <c r="J4" s="53" t="s">
        <v>328</v>
      </c>
      <c r="K4" s="53" t="s">
        <v>325</v>
      </c>
      <c r="L4" s="53" t="s">
        <v>327</v>
      </c>
      <c r="M4" s="52"/>
      <c r="N4" s="52"/>
    </row>
    <row r="5" spans="1:14" ht="15.75" customHeight="1">
      <c r="A5" s="241" t="s">
        <v>382</v>
      </c>
      <c r="B5" s="355" t="s">
        <v>395</v>
      </c>
      <c r="C5" s="355"/>
      <c r="D5" s="242" t="s">
        <v>396</v>
      </c>
      <c r="E5" s="55" t="s">
        <v>245</v>
      </c>
      <c r="F5" s="56">
        <v>106200</v>
      </c>
      <c r="G5" s="57">
        <f>IF(E5="",0,IF(E5="non",F5*Informations!$B$35,TabAVS!$B$38))</f>
        <v>13181.2</v>
      </c>
      <c r="H5" s="57">
        <f>IF(E5="",0,IF(E5="non",F5*Informations!$B$36,0))</f>
        <v>0</v>
      </c>
      <c r="I5" s="52">
        <f>IF(E5="Oui",F5,0)</f>
        <v>106200</v>
      </c>
      <c r="J5" s="52">
        <f>IF(E5="Oui",0,F5)</f>
        <v>0</v>
      </c>
      <c r="K5" s="52">
        <f>IF(E5="Oui",SUM(G5:H5),0)</f>
        <v>13181.2</v>
      </c>
      <c r="L5" s="52">
        <f>IF(E5="Oui",0,SUM(G5:H5))</f>
        <v>0</v>
      </c>
      <c r="M5" s="52"/>
      <c r="N5" s="52"/>
    </row>
    <row r="6" spans="1:14" ht="15.75" customHeight="1">
      <c r="A6" s="241" t="s">
        <v>486</v>
      </c>
      <c r="B6" s="355" t="s">
        <v>487</v>
      </c>
      <c r="C6" s="355"/>
      <c r="D6" s="242" t="s">
        <v>488</v>
      </c>
      <c r="E6" s="55" t="s">
        <v>246</v>
      </c>
      <c r="F6" s="56">
        <v>12000</v>
      </c>
      <c r="G6" s="57">
        <f>IF(E6="",0,IF(E6="non",F6*Informations!$B$35,TabAVS!$B$57))</f>
        <v>1800</v>
      </c>
      <c r="H6" s="57">
        <f>IF(E6="",0,IF(E6="non",F6*Informations!$B$36,0))</f>
        <v>0</v>
      </c>
      <c r="I6" s="52">
        <f t="shared" ref="I6:I12" si="0">IF(E6="Oui",F6,0)</f>
        <v>0</v>
      </c>
      <c r="J6" s="52">
        <f t="shared" ref="J6:J12" si="1">IF(E6="Oui",0,F6)</f>
        <v>12000</v>
      </c>
      <c r="K6" s="52">
        <f t="shared" ref="K6:K12" si="2">IF(E6="Oui",SUM(G6:H6),0)</f>
        <v>0</v>
      </c>
      <c r="L6" s="52">
        <f t="shared" ref="L6:L12" si="3">IF(E6="Oui",0,SUM(G6:H6))</f>
        <v>1800</v>
      </c>
      <c r="M6" s="52"/>
      <c r="N6" s="52"/>
    </row>
    <row r="7" spans="1:14" ht="15.75" customHeight="1">
      <c r="A7" s="241" t="s">
        <v>387</v>
      </c>
      <c r="B7" s="355" t="s">
        <v>387</v>
      </c>
      <c r="C7" s="355"/>
      <c r="D7" s="242"/>
      <c r="E7" s="266"/>
      <c r="F7" s="56">
        <v>0</v>
      </c>
      <c r="G7" s="57">
        <f>IF(E7="",0,IF(E7="non",F7*Informations!$B$35,TabAVS!$B$76))</f>
        <v>0</v>
      </c>
      <c r="H7" s="57">
        <f>IF(E7="",0,IF(E7="non",F7*Informations!$B$36,0))</f>
        <v>0</v>
      </c>
      <c r="I7" s="52">
        <f t="shared" si="0"/>
        <v>0</v>
      </c>
      <c r="J7" s="52">
        <f t="shared" si="1"/>
        <v>0</v>
      </c>
      <c r="K7" s="52">
        <f t="shared" si="2"/>
        <v>0</v>
      </c>
      <c r="L7" s="52">
        <f t="shared" si="3"/>
        <v>0</v>
      </c>
      <c r="M7" s="52"/>
      <c r="N7" s="52"/>
    </row>
    <row r="8" spans="1:14" ht="15.75" customHeight="1">
      <c r="A8" s="54"/>
      <c r="B8" s="354"/>
      <c r="C8" s="354"/>
      <c r="D8" s="55"/>
      <c r="E8" s="55"/>
      <c r="F8" s="56"/>
      <c r="G8" s="57">
        <f>IF(E8="",0,IF(E8="non",F8*Informations!$B$35,TabAVS!$B$38))</f>
        <v>0</v>
      </c>
      <c r="H8" s="57">
        <f>IF(E8="",0,IF(E8="non",F8*Informations!$B$36,0))</f>
        <v>0</v>
      </c>
      <c r="I8" s="52">
        <f t="shared" si="0"/>
        <v>0</v>
      </c>
      <c r="J8" s="52">
        <f t="shared" si="1"/>
        <v>0</v>
      </c>
      <c r="K8" s="52">
        <f t="shared" si="2"/>
        <v>0</v>
      </c>
      <c r="L8" s="52">
        <f t="shared" si="3"/>
        <v>0</v>
      </c>
      <c r="M8" s="52"/>
      <c r="N8" s="52"/>
    </row>
    <row r="9" spans="1:14" ht="15.75" customHeight="1">
      <c r="A9" s="54"/>
      <c r="B9" s="354"/>
      <c r="C9" s="354"/>
      <c r="D9" s="55"/>
      <c r="E9" s="55"/>
      <c r="F9" s="56"/>
      <c r="G9" s="57">
        <f>IF(E9="",0,IF(E9="non",F9*Informations!$B$35,TabAVS!$B$38))</f>
        <v>0</v>
      </c>
      <c r="H9" s="57">
        <f>IF(E9="",0,IF(E9="non",F9*Informations!$B$36,0))</f>
        <v>0</v>
      </c>
      <c r="I9" s="52">
        <f t="shared" si="0"/>
        <v>0</v>
      </c>
      <c r="J9" s="52">
        <f t="shared" si="1"/>
        <v>0</v>
      </c>
      <c r="K9" s="52">
        <f t="shared" si="2"/>
        <v>0</v>
      </c>
      <c r="L9" s="52">
        <f t="shared" si="3"/>
        <v>0</v>
      </c>
      <c r="M9" s="52"/>
      <c r="N9" s="52"/>
    </row>
    <row r="10" spans="1:14" ht="15.75" customHeight="1">
      <c r="A10" s="54"/>
      <c r="B10" s="354"/>
      <c r="C10" s="354"/>
      <c r="D10" s="55"/>
      <c r="E10" s="55"/>
      <c r="F10" s="56"/>
      <c r="G10" s="57">
        <f>IF(E10="",0,IF(E10="non",F10*Informations!$B$35,TabAVS!$B$38))</f>
        <v>0</v>
      </c>
      <c r="H10" s="57">
        <f>IF(E10="",0,IF(E10="non",F10*Informations!$B$36,0))</f>
        <v>0</v>
      </c>
      <c r="I10" s="52">
        <f t="shared" si="0"/>
        <v>0</v>
      </c>
      <c r="J10" s="52">
        <f t="shared" si="1"/>
        <v>0</v>
      </c>
      <c r="K10" s="52">
        <f t="shared" si="2"/>
        <v>0</v>
      </c>
      <c r="L10" s="52">
        <f t="shared" si="3"/>
        <v>0</v>
      </c>
      <c r="M10" s="52"/>
      <c r="N10" s="52"/>
    </row>
    <row r="11" spans="1:14" ht="15.75" customHeight="1">
      <c r="A11" s="54"/>
      <c r="B11" s="354"/>
      <c r="C11" s="354"/>
      <c r="D11" s="55"/>
      <c r="E11" s="55"/>
      <c r="F11" s="56"/>
      <c r="G11" s="57">
        <f>IF(E11="",0,IF(E11="non",F11*Informations!$B$35,TabAVS!$B$38))</f>
        <v>0</v>
      </c>
      <c r="H11" s="57">
        <f>IF(E11="",0,IF(E11="non",F11*Informations!$B$36,0))</f>
        <v>0</v>
      </c>
      <c r="I11" s="52">
        <f t="shared" si="0"/>
        <v>0</v>
      </c>
      <c r="J11" s="52">
        <f t="shared" si="1"/>
        <v>0</v>
      </c>
      <c r="K11" s="52">
        <f t="shared" si="2"/>
        <v>0</v>
      </c>
      <c r="L11" s="52">
        <f t="shared" si="3"/>
        <v>0</v>
      </c>
      <c r="M11" s="52"/>
      <c r="N11" s="52"/>
    </row>
    <row r="12" spans="1:14" ht="15.75" customHeight="1">
      <c r="A12" s="54"/>
      <c r="B12" s="354"/>
      <c r="C12" s="354"/>
      <c r="D12" s="55"/>
      <c r="E12" s="55"/>
      <c r="F12" s="56"/>
      <c r="G12" s="57">
        <f>IF(E12="",0,IF(E12="non",F12*Informations!$B$35,TabAVS!$B$38))</f>
        <v>0</v>
      </c>
      <c r="H12" s="57">
        <f>IF(E12="",0,IF(E12="non",F12*Informations!$B$36,0))</f>
        <v>0</v>
      </c>
      <c r="I12" s="52">
        <f t="shared" si="0"/>
        <v>0</v>
      </c>
      <c r="J12" s="52">
        <f t="shared" si="1"/>
        <v>0</v>
      </c>
      <c r="K12" s="52">
        <f t="shared" si="2"/>
        <v>0</v>
      </c>
      <c r="L12" s="52">
        <f t="shared" si="3"/>
        <v>0</v>
      </c>
      <c r="M12" s="52"/>
      <c r="N12" s="52"/>
    </row>
    <row r="13" spans="1:14" ht="15.75" customHeight="1">
      <c r="A13" s="357" t="s">
        <v>148</v>
      </c>
      <c r="B13" s="358"/>
      <c r="C13" s="358"/>
      <c r="D13" s="358"/>
      <c r="E13" s="358"/>
      <c r="F13" s="58">
        <f>SUM(F5:F12)</f>
        <v>118200</v>
      </c>
      <c r="G13" s="59">
        <f>SUM(G5:G12)</f>
        <v>14981.2</v>
      </c>
      <c r="H13" s="59">
        <f>SUM(H5:H12)</f>
        <v>0</v>
      </c>
      <c r="I13" s="52">
        <f>SUM(I5:I12)</f>
        <v>106200</v>
      </c>
      <c r="J13" s="52">
        <f t="shared" ref="J13:L13" si="4">SUM(J5:J12)</f>
        <v>12000</v>
      </c>
      <c r="K13" s="52">
        <f t="shared" si="4"/>
        <v>13181.2</v>
      </c>
      <c r="L13" s="52">
        <f t="shared" si="4"/>
        <v>1800</v>
      </c>
      <c r="M13" s="52"/>
      <c r="N13" s="52"/>
    </row>
    <row r="14" spans="1:14">
      <c r="A14" s="20"/>
      <c r="B14" s="356"/>
      <c r="C14" s="356"/>
      <c r="D14" s="60"/>
      <c r="E14" s="60"/>
      <c r="F14" s="61"/>
      <c r="G14" s="61"/>
      <c r="H14" s="61"/>
      <c r="I14" s="52"/>
      <c r="J14" s="52"/>
      <c r="K14" s="52"/>
      <c r="L14" s="52"/>
      <c r="M14" s="52"/>
      <c r="N14" s="52"/>
    </row>
    <row r="15" spans="1:14">
      <c r="A15" s="20"/>
      <c r="B15" s="356"/>
      <c r="C15" s="356"/>
      <c r="D15" s="60"/>
      <c r="E15" s="60"/>
      <c r="F15" s="61"/>
      <c r="G15" s="61"/>
      <c r="H15" s="61"/>
      <c r="I15" s="52"/>
      <c r="J15" s="52"/>
      <c r="K15" s="52"/>
      <c r="L15" s="52"/>
      <c r="M15" s="52"/>
      <c r="N15" s="52"/>
    </row>
    <row r="16" spans="1:14" ht="14.15">
      <c r="A16" s="342" t="s">
        <v>346</v>
      </c>
      <c r="B16" s="342"/>
      <c r="C16" s="342"/>
      <c r="D16" s="62"/>
      <c r="E16" s="62"/>
      <c r="F16" s="62"/>
      <c r="G16" s="62"/>
      <c r="H16" s="52"/>
      <c r="I16" s="52"/>
      <c r="J16" s="52"/>
      <c r="K16" s="52"/>
      <c r="L16" s="52"/>
      <c r="M16" s="52"/>
      <c r="N16" s="52"/>
    </row>
    <row r="17" spans="1:8" ht="15.75" customHeight="1">
      <c r="B17" s="64" t="s">
        <v>22</v>
      </c>
      <c r="C17" s="65" t="s">
        <v>23</v>
      </c>
      <c r="D17" s="69"/>
      <c r="E17" s="69"/>
      <c r="F17" s="69"/>
      <c r="G17" s="69"/>
      <c r="H17" s="21"/>
    </row>
    <row r="18" spans="1:8" ht="15.75" customHeight="1">
      <c r="A18" s="66" t="s">
        <v>24</v>
      </c>
      <c r="B18" s="263" t="s">
        <v>387</v>
      </c>
      <c r="C18" s="241"/>
      <c r="D18" s="70"/>
      <c r="E18" s="70"/>
      <c r="F18" s="70"/>
      <c r="G18" s="70"/>
      <c r="H18" s="21"/>
    </row>
    <row r="19" spans="1:8" ht="15.75" customHeight="1">
      <c r="A19" s="66" t="s">
        <v>25</v>
      </c>
      <c r="B19" s="241"/>
      <c r="C19" s="241"/>
      <c r="D19" s="70"/>
      <c r="E19" s="71"/>
      <c r="F19" s="70"/>
      <c r="G19" s="71"/>
      <c r="H19" s="21"/>
    </row>
    <row r="20" spans="1:8" ht="15.75" customHeight="1">
      <c r="A20" s="66" t="s">
        <v>26</v>
      </c>
      <c r="B20" s="241" t="s">
        <v>387</v>
      </c>
      <c r="C20" s="263" t="s">
        <v>398</v>
      </c>
      <c r="D20" s="70"/>
      <c r="E20" s="71"/>
      <c r="F20" s="70"/>
      <c r="G20" s="71"/>
      <c r="H20" s="21"/>
    </row>
    <row r="21" spans="1:8" ht="15.75" customHeight="1">
      <c r="A21" s="66" t="s">
        <v>27</v>
      </c>
      <c r="B21" s="241"/>
      <c r="C21" s="263" t="s">
        <v>398</v>
      </c>
      <c r="D21" s="70"/>
      <c r="E21" s="71"/>
      <c r="F21" s="71"/>
      <c r="G21" s="71"/>
      <c r="H21" s="21"/>
    </row>
    <row r="22" spans="1:8" ht="15.75" customHeight="1">
      <c r="A22" s="66" t="s">
        <v>104</v>
      </c>
      <c r="B22" s="263" t="s">
        <v>387</v>
      </c>
      <c r="C22" s="241" t="s">
        <v>398</v>
      </c>
      <c r="D22" s="71"/>
      <c r="E22" s="71"/>
      <c r="F22" s="71"/>
      <c r="G22" s="71"/>
      <c r="H22" s="21"/>
    </row>
    <row r="23" spans="1:8" ht="15.75" customHeight="1">
      <c r="A23" s="66" t="s">
        <v>105</v>
      </c>
      <c r="B23" s="268" t="s">
        <v>397</v>
      </c>
      <c r="C23" s="241" t="s">
        <v>399</v>
      </c>
      <c r="D23" s="71"/>
      <c r="E23" s="71"/>
      <c r="F23" s="71"/>
      <c r="G23" s="71"/>
      <c r="H23" s="21"/>
    </row>
    <row r="24" spans="1:8" ht="15.75" customHeight="1">
      <c r="A24" s="66" t="s">
        <v>106</v>
      </c>
      <c r="B24" s="268" t="s">
        <v>397</v>
      </c>
      <c r="C24" s="263" t="s">
        <v>399</v>
      </c>
      <c r="D24" s="71"/>
      <c r="E24" s="71"/>
      <c r="F24" s="71"/>
      <c r="G24" s="71"/>
      <c r="H24" s="21"/>
    </row>
    <row r="25" spans="1:8">
      <c r="D25" s="19"/>
      <c r="E25" s="19"/>
      <c r="F25" s="19"/>
      <c r="G25" s="19"/>
    </row>
    <row r="26" spans="1:8">
      <c r="D26" s="19"/>
      <c r="E26" s="19"/>
      <c r="F26" s="19"/>
      <c r="G26" s="19"/>
    </row>
    <row r="27" spans="1:8">
      <c r="D27" s="19"/>
      <c r="E27" s="19"/>
      <c r="F27" s="19"/>
      <c r="G27" s="19"/>
    </row>
    <row r="28" spans="1:8">
      <c r="D28" s="19"/>
      <c r="E28" s="19"/>
      <c r="F28" s="19"/>
      <c r="G28" s="19"/>
    </row>
    <row r="29" spans="1:8">
      <c r="B29" s="29"/>
      <c r="D29" s="19"/>
      <c r="E29" s="19"/>
      <c r="F29" s="19"/>
      <c r="G29" s="19"/>
    </row>
    <row r="30" spans="1:8">
      <c r="D30" s="19"/>
      <c r="E30" s="19"/>
      <c r="F30" s="19"/>
      <c r="G30" s="19"/>
    </row>
    <row r="34" spans="9:9">
      <c r="I34" s="63" t="s">
        <v>245</v>
      </c>
    </row>
    <row r="35" spans="9:9">
      <c r="I35" s="63" t="s">
        <v>246</v>
      </c>
    </row>
    <row r="36" spans="9:9">
      <c r="I36" s="63"/>
    </row>
  </sheetData>
  <sheetProtection algorithmName="SHA-512" hashValue="X3d5IU+LxOBka9A8i/4qG56acPg8WG7n/S6qPJfFWTS0/DdESwCZKb1qY3AeOQEyuSXXuASeDogACzxhQCsr1Q==" saltValue="t+ukZoOr2niCQwdfUoE1hg==" spinCount="100000" sheet="1" objects="1" scenarios="1"/>
  <mergeCells count="15">
    <mergeCell ref="A1:H1"/>
    <mergeCell ref="A3:H3"/>
    <mergeCell ref="A16:C16"/>
    <mergeCell ref="B4:C4"/>
    <mergeCell ref="B9:C9"/>
    <mergeCell ref="B5:C5"/>
    <mergeCell ref="B6:C6"/>
    <mergeCell ref="B7:C7"/>
    <mergeCell ref="B8:C8"/>
    <mergeCell ref="B10:C10"/>
    <mergeCell ref="B11:C11"/>
    <mergeCell ref="B12:C12"/>
    <mergeCell ref="B15:C15"/>
    <mergeCell ref="A13:E13"/>
    <mergeCell ref="B14:C14"/>
  </mergeCells>
  <phoneticPr fontId="6" type="noConversion"/>
  <dataValidations disablePrompts="1" count="1">
    <dataValidation type="list" allowBlank="1" showInputMessage="1" showErrorMessage="1" sqref="E5:E12" xr:uid="{00000000-0002-0000-0600-000000000000}">
      <formula1>$I$34:$I$35</formula1>
    </dataValidation>
  </dataValidations>
  <printOptions horizontalCentered="1"/>
  <pageMargins left="0.39370078740157483" right="0.39370078740157483" top="0.39370078740157483" bottom="0.39370078740157483" header="0.51181102362204722" footer="0.39370078740157483"/>
  <pageSetup paperSize="9" scale="95" orientation="landscape" r:id="rId1"/>
  <headerFooter scaleWithDoc="0">
    <oddFooter>&amp;R4</oddFooter>
  </headerFooter>
  <drawing r:id="rId2"/>
  <legacyDrawing r:id="rId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5"/>
    <pageSetUpPr fitToPage="1"/>
  </sheetPr>
  <dimension ref="A1:G30"/>
  <sheetViews>
    <sheetView showZeros="0" tabSelected="1" workbookViewId="0">
      <selection activeCell="C10" sqref="C10"/>
    </sheetView>
  </sheetViews>
  <sheetFormatPr baseColWidth="10" defaultColWidth="10.84375" defaultRowHeight="12.9"/>
  <cols>
    <col min="1" max="1" width="36.84375" style="18" customWidth="1"/>
    <col min="2" max="5" width="29.3828125" style="18" customWidth="1"/>
    <col min="6" max="6" width="9" style="29" customWidth="1"/>
    <col min="7" max="7" width="20.84375" style="29" bestFit="1" customWidth="1"/>
    <col min="8" max="256" width="9.15234375" style="18" customWidth="1"/>
    <col min="257" max="16384" width="10.84375" style="18"/>
  </cols>
  <sheetData>
    <row r="1" spans="1:7" ht="36" customHeight="1">
      <c r="A1" s="341" t="s">
        <v>253</v>
      </c>
      <c r="B1" s="341"/>
      <c r="C1" s="341"/>
      <c r="D1" s="341"/>
      <c r="E1" s="341"/>
      <c r="F1" s="72"/>
      <c r="G1" s="72"/>
    </row>
    <row r="3" spans="1:7" ht="15" customHeight="1">
      <c r="A3" s="346" t="s">
        <v>149</v>
      </c>
      <c r="B3" s="346"/>
      <c r="C3" s="346"/>
      <c r="D3" s="346"/>
      <c r="E3" s="346"/>
      <c r="F3" s="73"/>
      <c r="G3" s="73"/>
    </row>
    <row r="4" spans="1:7" ht="12.75" customHeight="1">
      <c r="A4" s="79" t="s">
        <v>150</v>
      </c>
      <c r="B4" s="353" t="s">
        <v>114</v>
      </c>
      <c r="C4" s="353"/>
      <c r="D4" s="353" t="s">
        <v>28</v>
      </c>
      <c r="E4" s="353"/>
    </row>
    <row r="5" spans="1:7" ht="31" customHeight="1">
      <c r="A5" s="243" t="s">
        <v>400</v>
      </c>
      <c r="B5" s="366"/>
      <c r="C5" s="367"/>
      <c r="D5" s="366"/>
      <c r="E5" s="367"/>
    </row>
    <row r="6" spans="1:7" ht="31" customHeight="1">
      <c r="A6" s="243" t="s">
        <v>401</v>
      </c>
      <c r="B6" s="366" t="s">
        <v>402</v>
      </c>
      <c r="C6" s="367"/>
      <c r="D6" s="366" t="s">
        <v>403</v>
      </c>
      <c r="E6" s="367"/>
    </row>
    <row r="7" spans="1:7" ht="31" customHeight="1">
      <c r="A7" s="243" t="s">
        <v>404</v>
      </c>
      <c r="B7" s="369" t="s">
        <v>405</v>
      </c>
      <c r="C7" s="370"/>
      <c r="D7" s="366" t="s">
        <v>406</v>
      </c>
      <c r="E7" s="367"/>
    </row>
    <row r="8" spans="1:7" ht="31" customHeight="1">
      <c r="A8" s="85"/>
      <c r="B8" s="371"/>
      <c r="C8" s="372"/>
      <c r="D8" s="368"/>
      <c r="E8" s="368"/>
    </row>
    <row r="9" spans="1:7" ht="31" customHeight="1">
      <c r="A9" s="85"/>
      <c r="B9" s="368"/>
      <c r="C9" s="368"/>
      <c r="D9" s="368"/>
      <c r="E9" s="368"/>
    </row>
    <row r="11" spans="1:7" ht="14.15">
      <c r="A11" s="346" t="s">
        <v>29</v>
      </c>
      <c r="B11" s="346"/>
      <c r="C11" s="346"/>
      <c r="D11" s="346"/>
      <c r="E11" s="346"/>
    </row>
    <row r="12" spans="1:7">
      <c r="A12" s="79" t="s">
        <v>150</v>
      </c>
      <c r="B12" s="67" t="s">
        <v>247</v>
      </c>
      <c r="C12" s="67" t="s">
        <v>71</v>
      </c>
      <c r="D12" s="67" t="s">
        <v>248</v>
      </c>
      <c r="E12" s="67" t="s">
        <v>249</v>
      </c>
    </row>
    <row r="13" spans="1:7">
      <c r="A13" s="86" t="str">
        <f>A5</f>
        <v>Restauration rapide Usines</v>
      </c>
      <c r="B13" s="244"/>
      <c r="C13" s="244"/>
      <c r="D13" s="245">
        <v>30</v>
      </c>
      <c r="E13" s="245">
        <v>0</v>
      </c>
    </row>
    <row r="14" spans="1:7">
      <c r="A14" s="86" t="str">
        <f>A6</f>
        <v>Food-Truck Soirs</v>
      </c>
      <c r="B14" s="244">
        <v>19.399999999999999</v>
      </c>
      <c r="C14" s="244">
        <v>64.285700000000006</v>
      </c>
      <c r="D14" s="245">
        <v>0</v>
      </c>
      <c r="E14" s="245">
        <v>0</v>
      </c>
    </row>
    <row r="15" spans="1:7">
      <c r="A15" s="86" t="str">
        <f>A7</f>
        <v>Food-truck week-end</v>
      </c>
      <c r="B15" s="244">
        <v>80.599999999999994</v>
      </c>
      <c r="C15" s="244">
        <v>64.285700000000006</v>
      </c>
      <c r="D15" s="245">
        <v>0</v>
      </c>
      <c r="E15" s="245">
        <v>0</v>
      </c>
    </row>
    <row r="16" spans="1:7">
      <c r="A16" s="86">
        <f>A8</f>
        <v>0</v>
      </c>
      <c r="B16" s="74"/>
      <c r="C16" s="74"/>
      <c r="D16" s="75"/>
      <c r="E16" s="75"/>
    </row>
    <row r="17" spans="1:5">
      <c r="A17" s="86">
        <f>A9</f>
        <v>0</v>
      </c>
      <c r="B17" s="75"/>
      <c r="C17" s="75"/>
      <c r="D17" s="75"/>
      <c r="E17" s="75"/>
    </row>
    <row r="18" spans="1:5">
      <c r="A18" s="380" t="str">
        <f>IF(OR(D18&gt;100,D18&lt;100),"ATTENTION! Le poid total des produits/prestations n'est pas de 100%","")</f>
        <v/>
      </c>
      <c r="B18" s="380"/>
      <c r="C18" s="380"/>
      <c r="D18" s="63">
        <f>SUM(B13:B17)</f>
        <v>100</v>
      </c>
    </row>
    <row r="19" spans="1:5" ht="14.15">
      <c r="A19" s="373" t="s">
        <v>67</v>
      </c>
      <c r="B19" s="373"/>
      <c r="C19" s="373"/>
      <c r="D19" s="373"/>
      <c r="E19" s="373"/>
    </row>
    <row r="20" spans="1:5" ht="26.15" customHeight="1">
      <c r="A20" s="374" t="s">
        <v>490</v>
      </c>
      <c r="B20" s="375"/>
      <c r="C20" s="375"/>
      <c r="D20" s="375"/>
      <c r="E20" s="376"/>
    </row>
    <row r="21" spans="1:5" ht="26.15" customHeight="1">
      <c r="A21" s="377"/>
      <c r="B21" s="378"/>
      <c r="C21" s="378"/>
      <c r="D21" s="378"/>
      <c r="E21" s="379"/>
    </row>
    <row r="23" spans="1:5" ht="14.15">
      <c r="A23" s="342" t="s">
        <v>12</v>
      </c>
      <c r="B23" s="342"/>
      <c r="C23" s="342"/>
      <c r="D23" s="342"/>
      <c r="E23" s="342"/>
    </row>
    <row r="24" spans="1:5">
      <c r="A24" s="80" t="str">
        <f>A5</f>
        <v>Restauration rapide Usines</v>
      </c>
      <c r="B24" s="80" t="str">
        <f>A6</f>
        <v>Food-Truck Soirs</v>
      </c>
      <c r="C24" s="80" t="str">
        <f>A7</f>
        <v>Food-truck week-end</v>
      </c>
      <c r="D24" s="80">
        <f>A8</f>
        <v>0</v>
      </c>
      <c r="E24" s="81">
        <f>A9</f>
        <v>0</v>
      </c>
    </row>
    <row r="25" spans="1:5">
      <c r="A25" s="359" t="s">
        <v>68</v>
      </c>
      <c r="B25" s="359"/>
      <c r="C25" s="359"/>
      <c r="D25" s="359"/>
      <c r="E25" s="359"/>
    </row>
    <row r="26" spans="1:5" ht="44.25" customHeight="1">
      <c r="A26" s="269" t="s">
        <v>387</v>
      </c>
      <c r="B26" s="269" t="s">
        <v>484</v>
      </c>
      <c r="C26" s="269" t="s">
        <v>485</v>
      </c>
      <c r="D26" s="269" t="s">
        <v>407</v>
      </c>
      <c r="E26" s="270"/>
    </row>
    <row r="27" spans="1:5">
      <c r="A27" s="359" t="s">
        <v>69</v>
      </c>
      <c r="B27" s="359"/>
      <c r="C27" s="359"/>
      <c r="D27" s="359"/>
      <c r="E27" s="359"/>
    </row>
    <row r="28" spans="1:5" ht="45" customHeight="1">
      <c r="A28" s="78"/>
      <c r="B28" s="76"/>
      <c r="C28" s="76"/>
      <c r="D28" s="76"/>
      <c r="E28" s="76"/>
    </row>
    <row r="29" spans="1:5">
      <c r="A29" s="360" t="s">
        <v>70</v>
      </c>
      <c r="B29" s="361"/>
      <c r="C29" s="361"/>
      <c r="D29" s="361"/>
      <c r="E29" s="362"/>
    </row>
    <row r="30" spans="1:5" ht="45.65" customHeight="1">
      <c r="A30" s="363" t="s">
        <v>376</v>
      </c>
      <c r="B30" s="364"/>
      <c r="C30" s="364"/>
      <c r="D30" s="364"/>
      <c r="E30" s="365"/>
    </row>
  </sheetData>
  <sheetProtection password="C628" sheet="1" objects="1" scenarios="1"/>
  <mergeCells count="23">
    <mergeCell ref="A1:E1"/>
    <mergeCell ref="D4:E4"/>
    <mergeCell ref="B4:C4"/>
    <mergeCell ref="A25:E25"/>
    <mergeCell ref="B9:C9"/>
    <mergeCell ref="B5:C5"/>
    <mergeCell ref="D5:E5"/>
    <mergeCell ref="A3:E3"/>
    <mergeCell ref="A27:E27"/>
    <mergeCell ref="A29:E29"/>
    <mergeCell ref="A30:E30"/>
    <mergeCell ref="D6:E6"/>
    <mergeCell ref="D7:E7"/>
    <mergeCell ref="D8:E8"/>
    <mergeCell ref="D9:E9"/>
    <mergeCell ref="B6:C6"/>
    <mergeCell ref="B7:C7"/>
    <mergeCell ref="B8:C8"/>
    <mergeCell ref="A11:E11"/>
    <mergeCell ref="A19:E19"/>
    <mergeCell ref="A20:E21"/>
    <mergeCell ref="A23:E23"/>
    <mergeCell ref="A18:C18"/>
  </mergeCells>
  <phoneticPr fontId="6" type="noConversion"/>
  <printOptions horizontalCentered="1"/>
  <pageMargins left="0.39000000000000007" right="0.39000000000000007" top="0.39000000000000007" bottom="0.39000000000000007" header="0.51" footer="0.39000000000000007"/>
  <pageSetup paperSize="9" scale="87" orientation="landscape" r:id="rId1"/>
  <headerFooter scaleWithDoc="0">
    <oddFooter>&amp;R&amp;K433B545</oddFooter>
  </headerFooter>
  <drawing r:id="rId2"/>
  <legacyDrawing r:id="rId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5"/>
    <pageSetUpPr fitToPage="1"/>
  </sheetPr>
  <dimension ref="A1:Q22"/>
  <sheetViews>
    <sheetView showZeros="0" topLeftCell="A4" workbookViewId="0">
      <selection activeCell="Q15" sqref="Q15"/>
    </sheetView>
  </sheetViews>
  <sheetFormatPr baseColWidth="10" defaultColWidth="10.84375" defaultRowHeight="12.9"/>
  <cols>
    <col min="1" max="1" width="19.15234375" style="18" customWidth="1"/>
    <col min="2" max="5" width="12.84375" style="18" customWidth="1"/>
    <col min="6" max="7" width="12.84375" style="29" customWidth="1"/>
    <col min="8" max="11" width="12.84375" style="18" customWidth="1"/>
    <col min="12" max="256" width="9.15234375" style="18" customWidth="1"/>
    <col min="257" max="16384" width="10.84375" style="18"/>
  </cols>
  <sheetData>
    <row r="1" spans="1:17" ht="36" customHeight="1">
      <c r="A1" s="341" t="s">
        <v>254</v>
      </c>
      <c r="B1" s="341"/>
      <c r="C1" s="341"/>
      <c r="D1" s="341"/>
      <c r="E1" s="341"/>
      <c r="F1" s="341"/>
      <c r="G1" s="341"/>
      <c r="H1" s="341"/>
      <c r="I1" s="341"/>
      <c r="J1" s="341"/>
      <c r="K1" s="341"/>
    </row>
    <row r="3" spans="1:17" ht="15" customHeight="1">
      <c r="A3" s="342" t="s">
        <v>251</v>
      </c>
      <c r="B3" s="342"/>
      <c r="C3" s="342"/>
      <c r="D3" s="342"/>
      <c r="E3" s="342"/>
      <c r="F3" s="342"/>
      <c r="G3" s="342"/>
      <c r="H3" s="342"/>
      <c r="I3" s="342"/>
      <c r="J3" s="342"/>
      <c r="K3" s="342"/>
    </row>
    <row r="4" spans="1:17" ht="15.75" customHeight="1">
      <c r="A4" s="79" t="s">
        <v>287</v>
      </c>
      <c r="B4" s="353" t="s">
        <v>302</v>
      </c>
      <c r="C4" s="353"/>
      <c r="D4" s="353"/>
      <c r="E4" s="353"/>
      <c r="F4" s="353"/>
      <c r="G4" s="353"/>
      <c r="H4" s="353"/>
      <c r="I4" s="353"/>
      <c r="J4" s="353"/>
      <c r="K4" s="67" t="s">
        <v>31</v>
      </c>
      <c r="M4" s="82"/>
      <c r="N4" s="82"/>
      <c r="O4" s="82"/>
      <c r="P4" s="82"/>
      <c r="Q4" s="82"/>
    </row>
    <row r="5" spans="1:17" ht="30.65" customHeight="1">
      <c r="A5" s="246" t="s">
        <v>408</v>
      </c>
      <c r="B5" s="381" t="s">
        <v>387</v>
      </c>
      <c r="C5" s="382"/>
      <c r="D5" s="382"/>
      <c r="E5" s="382"/>
      <c r="F5" s="382"/>
      <c r="G5" s="382"/>
      <c r="H5" s="382"/>
      <c r="I5" s="382"/>
      <c r="J5" s="382"/>
      <c r="K5" s="267"/>
      <c r="L5" s="52"/>
      <c r="M5" s="52"/>
      <c r="N5" s="52"/>
      <c r="O5" s="52"/>
      <c r="P5" s="52"/>
      <c r="Q5" s="52"/>
    </row>
    <row r="6" spans="1:17" ht="30.65" customHeight="1">
      <c r="A6" s="246" t="s">
        <v>409</v>
      </c>
      <c r="B6" s="381" t="s">
        <v>410</v>
      </c>
      <c r="C6" s="382"/>
      <c r="D6" s="382"/>
      <c r="E6" s="382"/>
      <c r="F6" s="382"/>
      <c r="G6" s="382"/>
      <c r="H6" s="382"/>
      <c r="I6" s="382"/>
      <c r="J6" s="382"/>
      <c r="K6" s="217" t="s">
        <v>33</v>
      </c>
      <c r="L6" s="52"/>
      <c r="M6" s="52" t="s">
        <v>33</v>
      </c>
      <c r="N6" s="52"/>
      <c r="O6" s="52"/>
      <c r="P6" s="52" t="s">
        <v>317</v>
      </c>
      <c r="Q6" s="52"/>
    </row>
    <row r="7" spans="1:17" ht="30.65" customHeight="1">
      <c r="A7" s="246" t="s">
        <v>377</v>
      </c>
      <c r="B7" s="381" t="s">
        <v>411</v>
      </c>
      <c r="C7" s="382"/>
      <c r="D7" s="382"/>
      <c r="E7" s="382"/>
      <c r="F7" s="382"/>
      <c r="G7" s="382"/>
      <c r="H7" s="382"/>
      <c r="I7" s="382"/>
      <c r="J7" s="382"/>
      <c r="K7" s="217" t="s">
        <v>34</v>
      </c>
      <c r="L7" s="52"/>
      <c r="M7" s="52" t="s">
        <v>34</v>
      </c>
      <c r="N7" s="52"/>
      <c r="O7" s="52"/>
      <c r="P7" s="52" t="s">
        <v>318</v>
      </c>
      <c r="Q7" s="52"/>
    </row>
    <row r="8" spans="1:17" ht="30.65" customHeight="1">
      <c r="A8" s="246" t="s">
        <v>387</v>
      </c>
      <c r="B8" s="381" t="s">
        <v>387</v>
      </c>
      <c r="C8" s="382"/>
      <c r="D8" s="382"/>
      <c r="E8" s="382"/>
      <c r="F8" s="382"/>
      <c r="G8" s="382"/>
      <c r="H8" s="382"/>
      <c r="I8" s="382"/>
      <c r="J8" s="382"/>
      <c r="K8" s="217"/>
      <c r="L8" s="52"/>
      <c r="M8" s="52" t="s">
        <v>35</v>
      </c>
      <c r="N8" s="52"/>
      <c r="O8" s="52"/>
      <c r="P8" s="52" t="s">
        <v>35</v>
      </c>
      <c r="Q8" s="52"/>
    </row>
    <row r="9" spans="1:17" ht="30.65" customHeight="1">
      <c r="A9" s="246" t="s">
        <v>387</v>
      </c>
      <c r="B9" s="381" t="s">
        <v>387</v>
      </c>
      <c r="C9" s="382"/>
      <c r="D9" s="382"/>
      <c r="E9" s="382"/>
      <c r="F9" s="382"/>
      <c r="G9" s="382"/>
      <c r="H9" s="382"/>
      <c r="I9" s="382"/>
      <c r="J9" s="382"/>
      <c r="K9" s="217"/>
      <c r="L9" s="52"/>
      <c r="M9" s="52"/>
      <c r="N9" s="52"/>
      <c r="O9" s="52"/>
      <c r="P9" s="52"/>
      <c r="Q9" s="52"/>
    </row>
    <row r="10" spans="1:17">
      <c r="L10" s="52"/>
      <c r="M10" s="52"/>
      <c r="N10" s="52"/>
      <c r="O10" s="52"/>
      <c r="P10" s="52"/>
      <c r="Q10" s="52"/>
    </row>
    <row r="11" spans="1:17">
      <c r="M11" s="82"/>
      <c r="N11" s="82"/>
      <c r="O11" s="82"/>
      <c r="P11" s="82"/>
      <c r="Q11" s="82"/>
    </row>
    <row r="12" spans="1:17" ht="15" customHeight="1">
      <c r="A12" s="342" t="s">
        <v>30</v>
      </c>
      <c r="B12" s="342"/>
      <c r="C12" s="342"/>
      <c r="D12" s="342"/>
      <c r="E12" s="342"/>
      <c r="F12" s="342"/>
      <c r="G12" s="342"/>
      <c r="H12" s="342"/>
      <c r="I12" s="342"/>
      <c r="J12" s="342"/>
      <c r="K12" s="342"/>
      <c r="M12" s="82"/>
      <c r="N12" s="82"/>
      <c r="O12" s="82"/>
      <c r="P12" s="82"/>
      <c r="Q12" s="82"/>
    </row>
    <row r="13" spans="1:17">
      <c r="B13" s="383" t="str">
        <f>Produits_prestations!A24</f>
        <v>Restauration rapide Usines</v>
      </c>
      <c r="C13" s="353"/>
      <c r="D13" s="383" t="str">
        <f>Produits_prestations!B24</f>
        <v>Food-Truck Soirs</v>
      </c>
      <c r="E13" s="353"/>
      <c r="F13" s="383" t="str">
        <f>Produits_prestations!C24</f>
        <v>Food-truck week-end</v>
      </c>
      <c r="G13" s="353"/>
      <c r="H13" s="383">
        <f>Produits_prestations!D24</f>
        <v>0</v>
      </c>
      <c r="I13" s="353"/>
      <c r="J13" s="383">
        <f>Produits_prestations!E24</f>
        <v>0</v>
      </c>
      <c r="K13" s="353"/>
    </row>
    <row r="14" spans="1:17">
      <c r="B14" s="84" t="s">
        <v>250</v>
      </c>
      <c r="C14" s="84" t="s">
        <v>32</v>
      </c>
      <c r="D14" s="84" t="s">
        <v>250</v>
      </c>
      <c r="E14" s="84" t="s">
        <v>32</v>
      </c>
      <c r="F14" s="84" t="s">
        <v>250</v>
      </c>
      <c r="G14" s="84" t="s">
        <v>32</v>
      </c>
      <c r="H14" s="84" t="s">
        <v>250</v>
      </c>
      <c r="I14" s="84" t="s">
        <v>32</v>
      </c>
      <c r="J14" s="84" t="s">
        <v>250</v>
      </c>
      <c r="K14" s="84" t="s">
        <v>32</v>
      </c>
    </row>
    <row r="15" spans="1:17" ht="40.5" customHeight="1">
      <c r="A15" s="66" t="str">
        <f>A5</f>
        <v>Personnel d'usine</v>
      </c>
      <c r="B15" s="83"/>
      <c r="C15" s="248" t="s">
        <v>387</v>
      </c>
      <c r="D15" s="83"/>
      <c r="E15" s="248" t="s">
        <v>385</v>
      </c>
      <c r="F15" s="249"/>
      <c r="G15" s="250"/>
      <c r="H15" s="83"/>
      <c r="I15" s="77"/>
      <c r="J15" s="83"/>
      <c r="K15" s="83"/>
    </row>
    <row r="16" spans="1:17" ht="40.5" customHeight="1">
      <c r="A16" s="66" t="str">
        <f>A6</f>
        <v>Touristes</v>
      </c>
      <c r="B16" s="247" t="s">
        <v>35</v>
      </c>
      <c r="C16" s="248" t="s">
        <v>413</v>
      </c>
      <c r="D16" s="247" t="s">
        <v>379</v>
      </c>
      <c r="E16" s="248" t="s">
        <v>413</v>
      </c>
      <c r="F16" s="247" t="s">
        <v>317</v>
      </c>
      <c r="G16" s="248" t="s">
        <v>413</v>
      </c>
      <c r="H16" s="83"/>
      <c r="I16" s="77"/>
      <c r="J16" s="83"/>
      <c r="K16" s="83"/>
    </row>
    <row r="17" spans="1:11" ht="40.5" customHeight="1">
      <c r="A17" s="66" t="str">
        <f>A7</f>
        <v>Particuliers</v>
      </c>
      <c r="B17" s="247" t="s">
        <v>379</v>
      </c>
      <c r="C17" s="248" t="s">
        <v>413</v>
      </c>
      <c r="D17" s="247" t="s">
        <v>379</v>
      </c>
      <c r="E17" s="248" t="s">
        <v>413</v>
      </c>
      <c r="F17" s="247" t="s">
        <v>378</v>
      </c>
      <c r="G17" s="248" t="s">
        <v>413</v>
      </c>
      <c r="H17" s="83"/>
      <c r="I17" s="77"/>
      <c r="J17" s="83"/>
      <c r="K17" s="83"/>
    </row>
    <row r="18" spans="1:11" ht="40.5" customHeight="1">
      <c r="A18" s="66" t="str">
        <f>A8</f>
        <v xml:space="preserve"> </v>
      </c>
      <c r="B18" s="83"/>
      <c r="C18" s="248" t="s">
        <v>387</v>
      </c>
      <c r="D18" s="83"/>
      <c r="E18" s="248" t="s">
        <v>385</v>
      </c>
      <c r="F18" s="249"/>
      <c r="G18" s="250"/>
      <c r="H18" s="83"/>
      <c r="I18" s="77"/>
      <c r="J18" s="83"/>
      <c r="K18" s="83"/>
    </row>
    <row r="19" spans="1:11" ht="40.5" customHeight="1">
      <c r="A19" s="66" t="str">
        <f>A9</f>
        <v xml:space="preserve"> </v>
      </c>
      <c r="B19" s="83"/>
      <c r="C19" s="248" t="s">
        <v>387</v>
      </c>
      <c r="D19" s="83"/>
      <c r="E19" s="248" t="s">
        <v>387</v>
      </c>
      <c r="F19" s="83"/>
      <c r="G19" s="248" t="s">
        <v>387</v>
      </c>
      <c r="H19" s="83"/>
      <c r="I19" s="77"/>
      <c r="J19" s="83"/>
      <c r="K19" s="83"/>
    </row>
    <row r="21" spans="1:11">
      <c r="A21" s="390" t="s">
        <v>36</v>
      </c>
      <c r="B21" s="384" t="s">
        <v>412</v>
      </c>
      <c r="C21" s="385"/>
      <c r="D21" s="385"/>
      <c r="E21" s="385"/>
      <c r="F21" s="385"/>
      <c r="G21" s="385"/>
      <c r="H21" s="385"/>
      <c r="I21" s="385"/>
      <c r="J21" s="385"/>
      <c r="K21" s="386"/>
    </row>
    <row r="22" spans="1:11">
      <c r="A22" s="391"/>
      <c r="B22" s="387"/>
      <c r="C22" s="388"/>
      <c r="D22" s="388"/>
      <c r="E22" s="388"/>
      <c r="F22" s="388"/>
      <c r="G22" s="388"/>
      <c r="H22" s="388"/>
      <c r="I22" s="388"/>
      <c r="J22" s="388"/>
      <c r="K22" s="389"/>
    </row>
  </sheetData>
  <sheetProtection password="C628" sheet="1" objects="1" scenarios="1"/>
  <mergeCells count="16">
    <mergeCell ref="B21:K22"/>
    <mergeCell ref="A21:A22"/>
    <mergeCell ref="J13:K13"/>
    <mergeCell ref="B13:C13"/>
    <mergeCell ref="D13:E13"/>
    <mergeCell ref="F13:G13"/>
    <mergeCell ref="B9:J9"/>
    <mergeCell ref="H13:I13"/>
    <mergeCell ref="A12:K12"/>
    <mergeCell ref="A1:K1"/>
    <mergeCell ref="A3:K3"/>
    <mergeCell ref="B4:J4"/>
    <mergeCell ref="B5:J5"/>
    <mergeCell ref="B6:J6"/>
    <mergeCell ref="B7:J7"/>
    <mergeCell ref="B8:J8"/>
  </mergeCells>
  <phoneticPr fontId="6" type="noConversion"/>
  <dataValidations count="2">
    <dataValidation type="list" allowBlank="1" showInputMessage="1" showErrorMessage="1" sqref="K5:K9" xr:uid="{00000000-0002-0000-0800-000000000000}">
      <formula1>$M$5:$M$8</formula1>
    </dataValidation>
    <dataValidation type="list" allowBlank="1" showInputMessage="1" showErrorMessage="1" sqref="B15:B19 D15:D19 F15:F19 H15:H19 J15:J19" xr:uid="{00000000-0002-0000-0800-000001000000}">
      <formula1>$P$6:$P$8</formula1>
    </dataValidation>
  </dataValidations>
  <printOptions horizontalCentered="1"/>
  <pageMargins left="0.39000000000000007" right="0.39000000000000007" top="0.39000000000000007" bottom="0.39000000000000007" header="0.51" footer="0.39000000000000007"/>
  <pageSetup paperSize="9" scale="96" orientation="landscape" r:id="rId1"/>
  <headerFooter scaleWithDoc="0">
    <oddFooter>&amp;R&amp;K433B546</oddFooter>
  </headerFooter>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20</vt:i4>
      </vt:variant>
      <vt:variant>
        <vt:lpstr>Plages nommées</vt:lpstr>
      </vt:variant>
      <vt:variant>
        <vt:i4>41</vt:i4>
      </vt:variant>
    </vt:vector>
  </HeadingPairs>
  <TitlesOfParts>
    <vt:vector size="61" baseType="lpstr">
      <vt:lpstr>TabAVS</vt:lpstr>
      <vt:lpstr>Accueil</vt:lpstr>
      <vt:lpstr>Plan</vt:lpstr>
      <vt:lpstr>Business Model</vt:lpstr>
      <vt:lpstr>Informations</vt:lpstr>
      <vt:lpstr>Résumé</vt:lpstr>
      <vt:lpstr>Portrait de l'entreprise</vt:lpstr>
      <vt:lpstr>Produits_prestations</vt:lpstr>
      <vt:lpstr>Cibles_clients</vt:lpstr>
      <vt:lpstr>Marché_Concurrence</vt:lpstr>
      <vt:lpstr>Bilan initial</vt:lpstr>
      <vt:lpstr>Inventaire_Immobilisations</vt:lpstr>
      <vt:lpstr>Plan_investissements</vt:lpstr>
      <vt:lpstr>Compte d'exploitation</vt:lpstr>
      <vt:lpstr>Frais_détails</vt:lpstr>
      <vt:lpstr>Compte d'exploitation période</vt:lpstr>
      <vt:lpstr>Plan_Liquidités</vt:lpstr>
      <vt:lpstr>Mensuel base 22 revu</vt:lpstr>
      <vt:lpstr>Contrôle budgétaire</vt:lpstr>
      <vt:lpstr>Ratios_Analyse</vt:lpstr>
      <vt:lpstr>Annexe1</vt:lpstr>
      <vt:lpstr>Annexe2</vt:lpstr>
      <vt:lpstr>Annexe3</vt:lpstr>
      <vt:lpstr>Assurances</vt:lpstr>
      <vt:lpstr>BilanI</vt:lpstr>
      <vt:lpstr>Cibles</vt:lpstr>
      <vt:lpstr>COVER</vt:lpstr>
      <vt:lpstr>Deplacements</vt:lpstr>
      <vt:lpstr>Exploitant</vt:lpstr>
      <vt:lpstr>Exploitation</vt:lpstr>
      <vt:lpstr>HOME</vt:lpstr>
      <vt:lpstr>Immobbilisations</vt:lpstr>
      <vt:lpstr>Information</vt:lpstr>
      <vt:lpstr>Investissements</vt:lpstr>
      <vt:lpstr>Liquidites</vt:lpstr>
      <vt:lpstr>Marche</vt:lpstr>
      <vt:lpstr>Marketing</vt:lpstr>
      <vt:lpstr>Portrait</vt:lpstr>
      <vt:lpstr>Produits</vt:lpstr>
      <vt:lpstr>Ratios</vt:lpstr>
      <vt:lpstr>Resume</vt:lpstr>
      <vt:lpstr>Vehicules</vt:lpstr>
      <vt:lpstr>Accueil!Zone_d_impression</vt:lpstr>
      <vt:lpstr>'Bilan initial'!Zone_d_impression</vt:lpstr>
      <vt:lpstr>'Business Model'!Zone_d_impression</vt:lpstr>
      <vt:lpstr>Cibles_clients!Zone_d_impression</vt:lpstr>
      <vt:lpstr>'Compte d''exploitation'!Zone_d_impression</vt:lpstr>
      <vt:lpstr>'Compte d''exploitation période'!Zone_d_impression</vt:lpstr>
      <vt:lpstr>'Contrôle budgétaire'!Zone_d_impression</vt:lpstr>
      <vt:lpstr>Frais_détails!Zone_d_impression</vt:lpstr>
      <vt:lpstr>Informations!Zone_d_impression</vt:lpstr>
      <vt:lpstr>Inventaire_Immobilisations!Zone_d_impression</vt:lpstr>
      <vt:lpstr>Marché_Concurrence!Zone_d_impression</vt:lpstr>
      <vt:lpstr>'Mensuel base 22 revu'!Zone_d_impression</vt:lpstr>
      <vt:lpstr>Plan!Zone_d_impression</vt:lpstr>
      <vt:lpstr>Plan_investissements!Zone_d_impression</vt:lpstr>
      <vt:lpstr>Plan_Liquidités!Zone_d_impression</vt:lpstr>
      <vt:lpstr>'Portrait de l''entreprise'!Zone_d_impression</vt:lpstr>
      <vt:lpstr>Produits_prestations!Zone_d_impression</vt:lpstr>
      <vt:lpstr>Ratios_Analyse!Zone_d_impression</vt:lpstr>
      <vt:lpstr>Résumé!Zone_d_impression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 Business Plan 2011</dc:title>
  <dc:creator>Eric Gonthier</dc:creator>
  <dc:description>Mis à jour par Farah le 16 mars 2009</dc:description>
  <cp:lastModifiedBy>Christian Coray</cp:lastModifiedBy>
  <cp:lastPrinted>2022-08-30T06:05:11Z</cp:lastPrinted>
  <dcterms:created xsi:type="dcterms:W3CDTF">1999-02-27T17:43:43Z</dcterms:created>
  <dcterms:modified xsi:type="dcterms:W3CDTF">2022-09-15T12:56:11Z</dcterms:modified>
</cp:coreProperties>
</file>