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autoCompressPictures="0"/>
  <mc:AlternateContent xmlns:mc="http://schemas.openxmlformats.org/markup-compatibility/2006">
    <mc:Choice Requires="x15">
      <x15ac:absPath xmlns:x15ac="http://schemas.microsoft.com/office/spreadsheetml/2010/11/ac" url="C:\Users\Mael Calame\Desktop\"/>
    </mc:Choice>
  </mc:AlternateContent>
  <xr:revisionPtr revIDLastSave="0" documentId="13_ncr:1_{AE7A29A1-AB81-4CD2-87A8-AF2C0815341A}" xr6:coauthVersionLast="47" xr6:coauthVersionMax="47" xr10:uidLastSave="{00000000-0000-0000-0000-000000000000}"/>
  <bookViews>
    <workbookView xWindow="-108" yWindow="-108" windowWidth="23256" windowHeight="12576" tabRatio="901" firstSheet="10" activeTab="17" xr2:uid="{00000000-000D-0000-FFFF-FFFF00000000}"/>
  </bookViews>
  <sheets>
    <sheet name="TabAVS" sheetId="44" state="hidden" r:id="rId1"/>
    <sheet name="Accueil" sheetId="67" r:id="rId2"/>
    <sheet name="Plan" sheetId="50" r:id="rId3"/>
    <sheet name="Business Model" sheetId="68" state="hidden" r:id="rId4"/>
    <sheet name="Informations" sheetId="19" r:id="rId5"/>
    <sheet name="Résumé" sheetId="51" r:id="rId6"/>
    <sheet name="Portrait de l'entreprise" sheetId="52" r:id="rId7"/>
    <sheet name="Produits_prestations" sheetId="53" r:id="rId8"/>
    <sheet name="Cibles_clients" sheetId="65" r:id="rId9"/>
    <sheet name="Marché_Concurrence" sheetId="54" r:id="rId10"/>
    <sheet name="Bilan initial" sheetId="55" r:id="rId11"/>
    <sheet name="Inventaire_Immobilisations" sheetId="60" r:id="rId12"/>
    <sheet name="Plan_investissements" sheetId="61" r:id="rId13"/>
    <sheet name="Compte d'exploitation" sheetId="56" r:id="rId14"/>
    <sheet name="Frais_détails" sheetId="66" r:id="rId15"/>
    <sheet name="Compte d'exploitation période" sheetId="57" r:id="rId16"/>
    <sheet name="Plan_Liquidités" sheetId="63" r:id="rId17"/>
    <sheet name="Bilan final" sheetId="64" r:id="rId18"/>
    <sheet name="Contrôle budgétaire" sheetId="69" state="hidden" r:id="rId19"/>
    <sheet name="Ratios_Analyse" sheetId="58" state="hidden" r:id="rId20"/>
  </sheets>
  <definedNames>
    <definedName name="Annexe1">'Compte d''exploitation'!$A$1</definedName>
    <definedName name="Annexe2">'Compte d''exploitation'!$A$31</definedName>
    <definedName name="Annexe3">Frais_détails!$A$1</definedName>
    <definedName name="Assurances">Frais_détails!$A$26</definedName>
    <definedName name="BilanF">'Bilan final'!$A$1</definedName>
    <definedName name="BilanI">'Bilan initial'!$A$1</definedName>
    <definedName name="Cibles">Cibles_clients!$A$1</definedName>
    <definedName name="COVER">Accueil!$A$8</definedName>
    <definedName name="Deplacements">Frais_détails!$A$16</definedName>
    <definedName name="Exploitant">Frais_détails!$A$3</definedName>
    <definedName name="Exploitation">'Compte d''exploitation période'!$A$1</definedName>
    <definedName name="HOME">Plan!$A$1</definedName>
    <definedName name="Immobbilisations">Inventaire_Immobilisations!$A$1</definedName>
    <definedName name="Information">Informations!$A$1</definedName>
    <definedName name="Investissements">Plan_investissements!$K$6</definedName>
    <definedName name="Liquidites">Plan_Liquidités!$A$1</definedName>
    <definedName name="Marche">Marché_Concurrence!$A$1</definedName>
    <definedName name="Marketing">Frais_détails!$A$31</definedName>
    <definedName name="Portrait">'Portrait de l''entreprise'!$A$2</definedName>
    <definedName name="Produits">Produits_prestations!$A$1</definedName>
    <definedName name="Ratios">Ratios_Analyse!$A$1</definedName>
    <definedName name="Resume">Résumé!$A$1</definedName>
    <definedName name="Vehicules">Frais_détails!$A$10</definedName>
    <definedName name="_xlnm.Print_Area" localSheetId="1">Accueil!$A$1:$I$49</definedName>
    <definedName name="_xlnm.Print_Area" localSheetId="17">'Bilan final'!$A$1:$B$37</definedName>
    <definedName name="_xlnm.Print_Area" localSheetId="10">'Bilan initial'!$A$1:$B$37</definedName>
    <definedName name="_xlnm.Print_Area" localSheetId="3">'Business Model'!$A$1:$T$59</definedName>
    <definedName name="_xlnm.Print_Area" localSheetId="8">Cibles_clients!$A$1:$K$22</definedName>
    <definedName name="_xlnm.Print_Area" localSheetId="13">'Compte d''exploitation'!$A$1:$H$37</definedName>
    <definedName name="_xlnm.Print_Area" localSheetId="15">'Compte d''exploitation période'!$A$1:$H$34</definedName>
    <definedName name="_xlnm.Print_Area" localSheetId="18">'Contrôle budgétaire'!$A$1:$I$42</definedName>
    <definedName name="_xlnm.Print_Area" localSheetId="14">Frais_détails!$A$1:$E$54</definedName>
    <definedName name="_xlnm.Print_Area" localSheetId="4">Informations!$A$1:$B$48</definedName>
    <definedName name="_xlnm.Print_Area" localSheetId="11">Inventaire_Immobilisations!$A$1:$F$31</definedName>
    <definedName name="_xlnm.Print_Area" localSheetId="9">Marché_Concurrence!$A$1:$D$35</definedName>
    <definedName name="_xlnm.Print_Area" localSheetId="2">Plan!$A$1:$I$35</definedName>
    <definedName name="_xlnm.Print_Area" localSheetId="12">Plan_investissements!$A$1:$F$31</definedName>
    <definedName name="_xlnm.Print_Area" localSheetId="16">Plan_Liquidités!$A$1:$G$35</definedName>
    <definedName name="_xlnm.Print_Area" localSheetId="6">'Portrait de l''entreprise'!$A$1:$H$24</definedName>
    <definedName name="_xlnm.Print_Area" localSheetId="7">Produits_prestations!$A$1:$E$30</definedName>
    <definedName name="_xlnm.Print_Area" localSheetId="19">Ratios_Analyse!$A$1:$C$34</definedName>
    <definedName name="_xlnm.Print_Area" localSheetId="5">Résumé!$A$1:$B$49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0" i="57" l="1"/>
  <c r="E10" i="57"/>
  <c r="A21" i="44"/>
  <c r="A20" i="44"/>
  <c r="A19" i="44"/>
  <c r="A18" i="44"/>
  <c r="A17" i="44"/>
  <c r="A16" i="44"/>
  <c r="A15" i="44"/>
  <c r="A14" i="44"/>
  <c r="A13" i="44"/>
  <c r="A12" i="44"/>
  <c r="A11" i="44"/>
  <c r="A10" i="44"/>
  <c r="A9" i="44"/>
  <c r="A8" i="44"/>
  <c r="A7" i="44"/>
  <c r="A6" i="44"/>
  <c r="A5" i="44"/>
  <c r="A4" i="44"/>
  <c r="E10" i="69" l="1"/>
  <c r="B53" i="66" l="1"/>
  <c r="B44" i="66"/>
  <c r="B38" i="66"/>
  <c r="B32" i="66"/>
  <c r="B15" i="56"/>
  <c r="G40" i="69" l="1"/>
  <c r="E42" i="69" l="1"/>
  <c r="E24" i="53"/>
  <c r="J13" i="65"/>
  <c r="D24" i="53"/>
  <c r="H13" i="65" s="1"/>
  <c r="C24" i="53"/>
  <c r="F13" i="65" s="1"/>
  <c r="B24" i="53"/>
  <c r="D13" i="65" s="1"/>
  <c r="A24" i="53"/>
  <c r="B13" i="65" s="1"/>
  <c r="A16" i="67"/>
  <c r="I1" i="68" s="1"/>
  <c r="Q1" i="68"/>
  <c r="B62" i="44"/>
  <c r="B63" i="44" s="1"/>
  <c r="B49" i="44"/>
  <c r="B68" i="44" s="1"/>
  <c r="B24" i="44"/>
  <c r="B25" i="44" s="1"/>
  <c r="B26" i="44" s="1"/>
  <c r="B27" i="44" s="1"/>
  <c r="C22" i="44"/>
  <c r="B43" i="44"/>
  <c r="B44" i="44" s="1"/>
  <c r="B45" i="44" s="1"/>
  <c r="B46" i="44" s="1"/>
  <c r="H5" i="52"/>
  <c r="G8" i="52"/>
  <c r="H8" i="52"/>
  <c r="G9" i="52"/>
  <c r="H9" i="52"/>
  <c r="G10" i="52"/>
  <c r="H10" i="52"/>
  <c r="G11" i="52"/>
  <c r="H11" i="52"/>
  <c r="G12" i="52"/>
  <c r="H12" i="52"/>
  <c r="B50" i="44"/>
  <c r="B69" i="44" s="1"/>
  <c r="B52" i="44"/>
  <c r="G6" i="52"/>
  <c r="H6" i="52"/>
  <c r="B71" i="44"/>
  <c r="G7" i="52"/>
  <c r="H7" i="52"/>
  <c r="J5" i="52"/>
  <c r="J7" i="52"/>
  <c r="J8" i="52"/>
  <c r="J6" i="52"/>
  <c r="J9" i="52"/>
  <c r="J10" i="52"/>
  <c r="J11" i="52"/>
  <c r="J12" i="52"/>
  <c r="I5" i="52"/>
  <c r="I7" i="52"/>
  <c r="I8" i="52"/>
  <c r="I6" i="52"/>
  <c r="I9" i="52"/>
  <c r="I10" i="52"/>
  <c r="I11" i="52"/>
  <c r="I12" i="52"/>
  <c r="K8" i="52"/>
  <c r="K9" i="52"/>
  <c r="K10" i="52"/>
  <c r="K11" i="52"/>
  <c r="K12" i="52"/>
  <c r="K6" i="52"/>
  <c r="K7" i="52"/>
  <c r="B27" i="19"/>
  <c r="I1" i="60" s="1"/>
  <c r="B48" i="19"/>
  <c r="D15" i="56"/>
  <c r="D16" i="56"/>
  <c r="D20" i="56"/>
  <c r="D21" i="56"/>
  <c r="D22" i="56"/>
  <c r="D23" i="56"/>
  <c r="D25" i="56"/>
  <c r="F49" i="67"/>
  <c r="F48" i="67"/>
  <c r="F46" i="67"/>
  <c r="F45" i="67"/>
  <c r="F44" i="67"/>
  <c r="B33" i="64"/>
  <c r="B35" i="64" s="1"/>
  <c r="B29" i="64"/>
  <c r="B28" i="64"/>
  <c r="B30" i="64" s="1"/>
  <c r="B11" i="64"/>
  <c r="B7" i="64"/>
  <c r="A1" i="64"/>
  <c r="B34" i="55"/>
  <c r="B30" i="55"/>
  <c r="B25" i="55"/>
  <c r="B8" i="55"/>
  <c r="A1" i="55"/>
  <c r="A19" i="65"/>
  <c r="A18" i="65"/>
  <c r="A17" i="65"/>
  <c r="A16" i="65"/>
  <c r="A15" i="65"/>
  <c r="G37" i="56"/>
  <c r="E36" i="56"/>
  <c r="D36" i="56"/>
  <c r="A36" i="56"/>
  <c r="E35" i="56"/>
  <c r="D35" i="56"/>
  <c r="A35" i="56"/>
  <c r="E34" i="56"/>
  <c r="F34" i="56" s="1"/>
  <c r="H34" i="56" s="1"/>
  <c r="D34" i="56"/>
  <c r="A34" i="56"/>
  <c r="H8" i="56"/>
  <c r="H8" i="57" s="1"/>
  <c r="G8" i="56"/>
  <c r="G8" i="57" s="1"/>
  <c r="F8" i="56"/>
  <c r="F8" i="57" s="1"/>
  <c r="F10" i="57" s="1"/>
  <c r="E8" i="56"/>
  <c r="E8" i="57" s="1"/>
  <c r="D8" i="56"/>
  <c r="D8" i="57" s="1"/>
  <c r="H5" i="56"/>
  <c r="H5" i="57" s="1"/>
  <c r="G5" i="56"/>
  <c r="F5" i="56"/>
  <c r="E5" i="56"/>
  <c r="K10" i="56" s="1"/>
  <c r="D5" i="56"/>
  <c r="D5" i="57" s="1"/>
  <c r="H3" i="56"/>
  <c r="H3" i="57" s="1"/>
  <c r="H31" i="57" s="1"/>
  <c r="G3" i="56"/>
  <c r="A30" i="63" s="1"/>
  <c r="F3" i="56"/>
  <c r="F3" i="57" s="1"/>
  <c r="F31" i="57" s="1"/>
  <c r="E3" i="56"/>
  <c r="E3" i="57" s="1"/>
  <c r="E31" i="57" s="1"/>
  <c r="D3" i="56"/>
  <c r="D3" i="57" s="1"/>
  <c r="D31" i="57" s="1"/>
  <c r="A1" i="57"/>
  <c r="B31" i="66"/>
  <c r="B24" i="56" s="1"/>
  <c r="B26" i="66"/>
  <c r="B19" i="56" s="1"/>
  <c r="B24" i="66"/>
  <c r="B16" i="66" s="1"/>
  <c r="B18" i="56" s="1"/>
  <c r="B10" i="66"/>
  <c r="B17" i="56" s="1"/>
  <c r="B32" i="19"/>
  <c r="B31" i="60"/>
  <c r="B16" i="55" s="1"/>
  <c r="F30" i="60"/>
  <c r="E30" i="60"/>
  <c r="D30" i="60"/>
  <c r="F29" i="60"/>
  <c r="E29" i="60"/>
  <c r="D29" i="60"/>
  <c r="D28" i="60"/>
  <c r="E28" i="60"/>
  <c r="D27" i="60"/>
  <c r="E27" i="60"/>
  <c r="B25" i="60"/>
  <c r="B15" i="55" s="1"/>
  <c r="F24" i="60"/>
  <c r="E24" i="60"/>
  <c r="D24" i="60"/>
  <c r="F23" i="60"/>
  <c r="E23" i="60"/>
  <c r="D23" i="60"/>
  <c r="D22" i="60"/>
  <c r="E22" i="60"/>
  <c r="F22" i="60"/>
  <c r="D21" i="60"/>
  <c r="E21" i="60"/>
  <c r="F21" i="60"/>
  <c r="B19" i="60"/>
  <c r="B14" i="55" s="1"/>
  <c r="F18" i="60"/>
  <c r="E18" i="60"/>
  <c r="D18" i="60"/>
  <c r="F17" i="60"/>
  <c r="E17" i="60"/>
  <c r="D17" i="60"/>
  <c r="F16" i="60"/>
  <c r="E16" i="60"/>
  <c r="D16" i="60"/>
  <c r="D15" i="60"/>
  <c r="E15" i="60" s="1"/>
  <c r="B13" i="60"/>
  <c r="B13" i="55" s="1"/>
  <c r="D12" i="60"/>
  <c r="E12" i="60"/>
  <c r="D11" i="60"/>
  <c r="E11" i="60"/>
  <c r="D10" i="60"/>
  <c r="E10" i="60" s="1"/>
  <c r="D9" i="60"/>
  <c r="E9" i="60" s="1"/>
  <c r="B7" i="60"/>
  <c r="B12" i="55" s="1"/>
  <c r="F6" i="60"/>
  <c r="E6" i="60"/>
  <c r="D6" i="60"/>
  <c r="F5" i="60"/>
  <c r="E5" i="60"/>
  <c r="D5" i="60"/>
  <c r="D4" i="60"/>
  <c r="E4" i="60"/>
  <c r="D3" i="60"/>
  <c r="E3" i="60" s="1"/>
  <c r="B31" i="61"/>
  <c r="F30" i="61"/>
  <c r="E30" i="61"/>
  <c r="D30" i="61"/>
  <c r="F29" i="61"/>
  <c r="E29" i="61"/>
  <c r="D29" i="61"/>
  <c r="F28" i="61"/>
  <c r="E28" i="61"/>
  <c r="D28" i="61"/>
  <c r="D27" i="61"/>
  <c r="E27" i="61"/>
  <c r="B25" i="61"/>
  <c r="F24" i="61"/>
  <c r="E24" i="61"/>
  <c r="D24" i="61"/>
  <c r="F23" i="61"/>
  <c r="E23" i="61"/>
  <c r="D23" i="61"/>
  <c r="F22" i="61"/>
  <c r="E22" i="61"/>
  <c r="D22" i="61"/>
  <c r="F21" i="61"/>
  <c r="E21" i="61"/>
  <c r="D21" i="61"/>
  <c r="B19" i="61"/>
  <c r="F18" i="61"/>
  <c r="E18" i="61"/>
  <c r="D18" i="61"/>
  <c r="F17" i="61"/>
  <c r="E17" i="61"/>
  <c r="D17" i="61"/>
  <c r="F16" i="61"/>
  <c r="E16" i="61"/>
  <c r="D16" i="61"/>
  <c r="F15" i="61"/>
  <c r="E15" i="61"/>
  <c r="D15" i="61"/>
  <c r="B13" i="61"/>
  <c r="F12" i="61"/>
  <c r="E12" i="61"/>
  <c r="D12" i="61"/>
  <c r="D11" i="61"/>
  <c r="E11" i="61"/>
  <c r="F11" i="61"/>
  <c r="D10" i="61"/>
  <c r="E10" i="61"/>
  <c r="D9" i="61"/>
  <c r="E9" i="61" s="1"/>
  <c r="B7" i="61"/>
  <c r="B32" i="61" s="1"/>
  <c r="B18" i="63" s="1"/>
  <c r="F6" i="61"/>
  <c r="E6" i="61"/>
  <c r="D6" i="61"/>
  <c r="F5" i="61"/>
  <c r="E5" i="61"/>
  <c r="D5" i="61"/>
  <c r="F4" i="61"/>
  <c r="E4" i="61"/>
  <c r="D4" i="61"/>
  <c r="D3" i="61"/>
  <c r="E3" i="61"/>
  <c r="C31" i="63"/>
  <c r="B31" i="63"/>
  <c r="C30" i="63"/>
  <c r="B30" i="63"/>
  <c r="C29" i="63"/>
  <c r="B29" i="63"/>
  <c r="C28" i="63"/>
  <c r="B28" i="63"/>
  <c r="C27" i="63"/>
  <c r="B27" i="63"/>
  <c r="B11" i="63"/>
  <c r="B7" i="63"/>
  <c r="B5" i="63"/>
  <c r="B4" i="63"/>
  <c r="F13" i="52"/>
  <c r="D18" i="53"/>
  <c r="A18" i="53" s="1"/>
  <c r="A17" i="53"/>
  <c r="A16" i="53"/>
  <c r="A15" i="53"/>
  <c r="A14" i="53"/>
  <c r="A13" i="53"/>
  <c r="B18" i="58"/>
  <c r="D24" i="44"/>
  <c r="B12" i="58"/>
  <c r="F27" i="61"/>
  <c r="F12" i="60"/>
  <c r="F3" i="61"/>
  <c r="F27" i="60"/>
  <c r="F4" i="60"/>
  <c r="F10" i="61"/>
  <c r="F11" i="60"/>
  <c r="F28" i="60"/>
  <c r="G3" i="57"/>
  <c r="G31" i="57" s="1"/>
  <c r="A27" i="63"/>
  <c r="H10" i="57" l="1"/>
  <c r="E31" i="61"/>
  <c r="F31" i="61"/>
  <c r="F25" i="60"/>
  <c r="E25" i="61"/>
  <c r="E19" i="61"/>
  <c r="E31" i="60"/>
  <c r="F31" i="60"/>
  <c r="F9" i="60"/>
  <c r="B36" i="55"/>
  <c r="B14" i="58"/>
  <c r="E7" i="61"/>
  <c r="B13" i="58"/>
  <c r="I13" i="52"/>
  <c r="B11" i="56" s="1"/>
  <c r="D11" i="56" s="1"/>
  <c r="E5" i="57"/>
  <c r="E25" i="60"/>
  <c r="E13" i="61"/>
  <c r="E19" i="60"/>
  <c r="F15" i="60"/>
  <c r="F19" i="60" s="1"/>
  <c r="E13" i="60"/>
  <c r="F10" i="60"/>
  <c r="F3" i="60"/>
  <c r="F7" i="60" s="1"/>
  <c r="E7" i="60"/>
  <c r="B32" i="60"/>
  <c r="B5" i="56"/>
  <c r="L7" i="52"/>
  <c r="L6" i="52"/>
  <c r="J13" i="52"/>
  <c r="B13" i="56" s="1"/>
  <c r="L12" i="52"/>
  <c r="L10" i="52"/>
  <c r="L8" i="52"/>
  <c r="L9" i="52"/>
  <c r="L5" i="52"/>
  <c r="F25" i="61"/>
  <c r="B17" i="55"/>
  <c r="D17" i="56"/>
  <c r="D24" i="56"/>
  <c r="D18" i="56"/>
  <c r="D13" i="56"/>
  <c r="B64" i="44"/>
  <c r="B65" i="44" s="1"/>
  <c r="I1" i="61"/>
  <c r="F9" i="61" s="1"/>
  <c r="F13" i="61" s="1"/>
  <c r="B33" i="19"/>
  <c r="L1" i="57" s="1"/>
  <c r="K1" i="57"/>
  <c r="B17" i="57" s="1"/>
  <c r="C24" i="69" s="1"/>
  <c r="G24" i="69" s="1"/>
  <c r="D37" i="56"/>
  <c r="F35" i="56"/>
  <c r="H35" i="56" s="1"/>
  <c r="N10" i="56"/>
  <c r="D19" i="56"/>
  <c r="J10" i="56"/>
  <c r="A31" i="63"/>
  <c r="A29" i="63"/>
  <c r="F7" i="61"/>
  <c r="F19" i="61"/>
  <c r="H13" i="52"/>
  <c r="A28" i="63"/>
  <c r="B34" i="63"/>
  <c r="F36" i="56"/>
  <c r="H36" i="56" s="1"/>
  <c r="L11" i="52"/>
  <c r="B9" i="58"/>
  <c r="B7" i="58"/>
  <c r="F5" i="57"/>
  <c r="L10" i="56"/>
  <c r="G5" i="57"/>
  <c r="G10" i="57" s="1"/>
  <c r="M10" i="56"/>
  <c r="B47" i="44"/>
  <c r="B56" i="44"/>
  <c r="B53" i="44"/>
  <c r="B37" i="44"/>
  <c r="B28" i="44"/>
  <c r="B51" i="44" s="1"/>
  <c r="B70" i="44" s="1"/>
  <c r="B66" i="44"/>
  <c r="B16" i="64" l="1"/>
  <c r="F13" i="60"/>
  <c r="F32" i="60" s="1"/>
  <c r="B15" i="64"/>
  <c r="E32" i="61"/>
  <c r="E32" i="60"/>
  <c r="H37" i="56"/>
  <c r="B26" i="56" s="1"/>
  <c r="D26" i="56" s="1"/>
  <c r="B27" i="56"/>
  <c r="D27" i="56" s="1"/>
  <c r="F37" i="56"/>
  <c r="L13" i="52"/>
  <c r="B14" i="56" s="1"/>
  <c r="B14" i="57" s="1"/>
  <c r="C18" i="69" s="1"/>
  <c r="G18" i="69" s="1"/>
  <c r="B12" i="64"/>
  <c r="B34" i="44"/>
  <c r="B35" i="44" s="1"/>
  <c r="B36" i="44" s="1"/>
  <c r="F32" i="61"/>
  <c r="B11" i="57"/>
  <c r="C12" i="69" s="1"/>
  <c r="G12" i="69" s="1"/>
  <c r="B19" i="57"/>
  <c r="C26" i="69" s="1"/>
  <c r="G26" i="69" s="1"/>
  <c r="B13" i="57"/>
  <c r="C14" i="69" s="1"/>
  <c r="G14" i="69" s="1"/>
  <c r="B14" i="64"/>
  <c r="B5" i="57"/>
  <c r="B21" i="57"/>
  <c r="B16" i="57"/>
  <c r="C30" i="69" s="1"/>
  <c r="G30" i="69" s="1"/>
  <c r="B25" i="57"/>
  <c r="C34" i="69" s="1"/>
  <c r="G34" i="69" s="1"/>
  <c r="B20" i="57"/>
  <c r="B23" i="57"/>
  <c r="B22" i="57"/>
  <c r="B15" i="57"/>
  <c r="C20" i="69" s="1"/>
  <c r="G20" i="69" s="1"/>
  <c r="B18" i="57"/>
  <c r="C36" i="69" s="1"/>
  <c r="G36" i="69" s="1"/>
  <c r="B24" i="57"/>
  <c r="C32" i="69" s="1"/>
  <c r="G32" i="69" s="1"/>
  <c r="B8" i="58"/>
  <c r="B19" i="55"/>
  <c r="B54" i="44"/>
  <c r="B55" i="44" s="1"/>
  <c r="B57" i="44" s="1"/>
  <c r="B72" i="44"/>
  <c r="B75" i="44"/>
  <c r="B80" i="44" s="1"/>
  <c r="B5" i="66" s="1"/>
  <c r="B8" i="57"/>
  <c r="B8" i="56"/>
  <c r="B13" i="64" l="1"/>
  <c r="B17" i="64" s="1"/>
  <c r="D14" i="56"/>
  <c r="B26" i="57"/>
  <c r="C22" i="69" s="1"/>
  <c r="G22" i="69" s="1"/>
  <c r="B27" i="57"/>
  <c r="C38" i="69" s="1"/>
  <c r="G38" i="69" s="1"/>
  <c r="B16" i="63"/>
  <c r="C28" i="69"/>
  <c r="G28" i="69" s="1"/>
  <c r="B5" i="58"/>
  <c r="B6" i="58" s="1"/>
  <c r="B3" i="55"/>
  <c r="B38" i="44"/>
  <c r="G5" i="52" s="1"/>
  <c r="B27" i="58"/>
  <c r="B73" i="44"/>
  <c r="B74" i="44" s="1"/>
  <c r="C8" i="58" l="1"/>
  <c r="C7" i="58"/>
  <c r="C9" i="58"/>
  <c r="K5" i="52"/>
  <c r="K13" i="52" s="1"/>
  <c r="G13" i="52"/>
  <c r="B76" i="44"/>
  <c r="B79" i="44"/>
  <c r="B81" i="44" l="1"/>
  <c r="B4" i="66"/>
  <c r="B3" i="66" s="1"/>
  <c r="B12" i="56" s="1"/>
  <c r="D12" i="56" l="1"/>
  <c r="B12" i="57"/>
  <c r="B28" i="56"/>
  <c r="B28" i="57" l="1"/>
  <c r="B17" i="58" s="1"/>
  <c r="B19" i="58" s="1"/>
  <c r="C16" i="69"/>
  <c r="G16" i="69" s="1"/>
  <c r="B4" i="56"/>
  <c r="D28" i="56"/>
  <c r="B15" i="63" l="1"/>
  <c r="B32" i="57"/>
  <c r="E4" i="56"/>
  <c r="B4" i="57"/>
  <c r="G4" i="56"/>
  <c r="F4" i="56"/>
  <c r="B6" i="56"/>
  <c r="B7" i="56" s="1"/>
  <c r="H4" i="56"/>
  <c r="D4" i="56"/>
  <c r="B34" i="57" l="1"/>
  <c r="B24" i="58" s="1"/>
  <c r="G32" i="57"/>
  <c r="E32" i="57"/>
  <c r="F32" i="57"/>
  <c r="B33" i="57"/>
  <c r="H32" i="57"/>
  <c r="D32" i="57"/>
  <c r="C28" i="56"/>
  <c r="C16" i="56"/>
  <c r="C18" i="56"/>
  <c r="C21" i="56"/>
  <c r="C20" i="56"/>
  <c r="C24" i="56"/>
  <c r="C14" i="56"/>
  <c r="C19" i="56"/>
  <c r="C23" i="56"/>
  <c r="C22" i="56"/>
  <c r="C25" i="56"/>
  <c r="C17" i="56"/>
  <c r="C11" i="56"/>
  <c r="C15" i="56"/>
  <c r="C13" i="56"/>
  <c r="C26" i="56"/>
  <c r="C27" i="56"/>
  <c r="C12" i="56"/>
  <c r="D6" i="56"/>
  <c r="D7" i="56" s="1"/>
  <c r="B8" i="63"/>
  <c r="H4" i="57"/>
  <c r="B22" i="58"/>
  <c r="B23" i="58" s="1"/>
  <c r="D4" i="57"/>
  <c r="E4" i="57"/>
  <c r="G4" i="57"/>
  <c r="F4" i="57"/>
  <c r="C4" i="69" s="1"/>
  <c r="B6" i="57"/>
  <c r="B7" i="57" s="1"/>
  <c r="H6" i="56"/>
  <c r="H7" i="56" s="1"/>
  <c r="F6" i="56"/>
  <c r="F7" i="56" s="1"/>
  <c r="G6" i="56"/>
  <c r="G7" i="56" s="1"/>
  <c r="E6" i="56"/>
  <c r="E7" i="56" s="1"/>
  <c r="D34" i="57" l="1"/>
  <c r="D33" i="57"/>
  <c r="E34" i="57"/>
  <c r="E33" i="57"/>
  <c r="H34" i="57"/>
  <c r="H33" i="57"/>
  <c r="F34" i="57"/>
  <c r="F33" i="57"/>
  <c r="G34" i="57"/>
  <c r="G33" i="57"/>
  <c r="G4" i="69"/>
  <c r="C8" i="69"/>
  <c r="G8" i="69" s="1"/>
  <c r="F6" i="57"/>
  <c r="D29" i="63"/>
  <c r="F29" i="63" s="1"/>
  <c r="D30" i="63"/>
  <c r="F30" i="63" s="1"/>
  <c r="G6" i="57"/>
  <c r="E30" i="63" s="1"/>
  <c r="G30" i="63" s="1"/>
  <c r="D27" i="63"/>
  <c r="D6" i="57"/>
  <c r="E27" i="63" s="1"/>
  <c r="D31" i="63"/>
  <c r="F31" i="63" s="1"/>
  <c r="H6" i="57"/>
  <c r="E31" i="63" s="1"/>
  <c r="G31" i="63" s="1"/>
  <c r="C20" i="57"/>
  <c r="B29" i="57"/>
  <c r="C13" i="57"/>
  <c r="C12" i="57"/>
  <c r="C23" i="57"/>
  <c r="C25" i="57"/>
  <c r="C15" i="57"/>
  <c r="C17" i="57"/>
  <c r="C19" i="57"/>
  <c r="C21" i="57"/>
  <c r="C11" i="57"/>
  <c r="C27" i="57"/>
  <c r="C28" i="57"/>
  <c r="C24" i="57"/>
  <c r="C26" i="57"/>
  <c r="C14" i="57"/>
  <c r="C16" i="57"/>
  <c r="C18" i="57"/>
  <c r="C22" i="57"/>
  <c r="E6" i="57"/>
  <c r="E28" i="63" s="1"/>
  <c r="G28" i="63" s="1"/>
  <c r="D28" i="63"/>
  <c r="F28" i="63" s="1"/>
  <c r="B26" i="58" l="1"/>
  <c r="B25" i="58"/>
  <c r="B34" i="64"/>
  <c r="B28" i="58"/>
  <c r="E7" i="57"/>
  <c r="H7" i="57"/>
  <c r="E29" i="63"/>
  <c r="G29" i="63" s="1"/>
  <c r="C6" i="69"/>
  <c r="F7" i="57"/>
  <c r="D7" i="57"/>
  <c r="G7" i="57"/>
  <c r="G27" i="63"/>
  <c r="D32" i="63"/>
  <c r="F27" i="63"/>
  <c r="F32" i="63" s="1"/>
  <c r="B9" i="63" s="1"/>
  <c r="E32" i="63" l="1"/>
  <c r="B12" i="63" s="1"/>
  <c r="G32" i="63"/>
  <c r="B13" i="63" s="1"/>
  <c r="B23" i="64" s="1"/>
  <c r="G6" i="69"/>
  <c r="C10" i="69"/>
  <c r="B6" i="64"/>
  <c r="B22" i="63" l="1"/>
  <c r="B5" i="64" s="1"/>
  <c r="B8" i="64" s="1"/>
  <c r="B19" i="64" s="1"/>
  <c r="C42" i="69"/>
  <c r="G42" i="69" s="1"/>
  <c r="G10" i="69"/>
  <c r="B24" i="64" l="1"/>
  <c r="B25" i="64" s="1"/>
  <c r="B37" i="64" s="1"/>
  <c r="E26" i="64" s="1"/>
  <c r="B3" i="64" s="1"/>
  <c r="C5" i="58"/>
  <c r="C6" i="58" s="1"/>
  <c r="C14" i="58" l="1"/>
  <c r="C12" i="58"/>
  <c r="C13" i="5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Nespresso</author>
  </authors>
  <commentList>
    <comment ref="A16" authorId="0" shapeId="0" xr:uid="{00000000-0006-0000-0100-000001000000}">
      <text>
        <r>
          <rPr>
            <b/>
            <sz val="8"/>
            <color indexed="81"/>
            <rFont val="Tahoma"/>
            <family val="2"/>
          </rPr>
          <t>MES:</t>
        </r>
        <r>
          <rPr>
            <sz val="8"/>
            <color indexed="81"/>
            <rFont val="Tahoma"/>
            <family val="2"/>
          </rPr>
          <t xml:space="preserve">
Introduire la raison sociale de la future entreprise ou le nom du projet.</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Nespresso</author>
  </authors>
  <commentList>
    <comment ref="A15" authorId="0" shapeId="0" xr:uid="{00000000-0006-0000-0D00-000001000000}">
      <text>
        <r>
          <rPr>
            <sz val="8"/>
            <color indexed="81"/>
            <rFont val="Tahoma"/>
            <family val="2"/>
          </rPr>
          <t>Correspond au futur loyer de l'entreprise y compris l'éventuel part du loyer privé utilisé à des fins commerciales.</t>
        </r>
        <r>
          <rPr>
            <sz val="8"/>
            <color indexed="81"/>
            <rFont val="Tahoma"/>
            <family val="2"/>
          </rPr>
          <t xml:space="preserve">
</t>
        </r>
      </text>
    </comment>
    <comment ref="A20" authorId="0" shapeId="0" xr:uid="{00000000-0006-0000-0D00-000002000000}">
      <text>
        <r>
          <rPr>
            <sz val="8"/>
            <color indexed="81"/>
            <rFont val="Tahoma"/>
            <family val="2"/>
          </rPr>
          <t>Charges et autres frais liés au loyer si celles-ci n'y sont pas déjà incluses.</t>
        </r>
        <r>
          <rPr>
            <sz val="8"/>
            <color indexed="81"/>
            <rFont val="Tahoma"/>
            <family val="2"/>
          </rPr>
          <t xml:space="preserve">
</t>
        </r>
      </text>
    </comment>
    <comment ref="A21" authorId="0" shapeId="0" xr:uid="{00000000-0006-0000-0D00-000003000000}">
      <text>
        <r>
          <rPr>
            <sz val="8"/>
            <color indexed="81"/>
            <rFont val="Tahoma"/>
            <family val="2"/>
          </rPr>
          <t>Frais de maintenance informatique, réparation, installation de matériel de bureau, etc...</t>
        </r>
        <r>
          <rPr>
            <sz val="8"/>
            <color indexed="81"/>
            <rFont val="Tahoma"/>
            <family val="2"/>
          </rPr>
          <t xml:space="preserve">
</t>
        </r>
      </text>
    </comment>
    <comment ref="A22" authorId="0" shapeId="0" xr:uid="{00000000-0006-0000-0D00-000004000000}">
      <text>
        <r>
          <rPr>
            <sz val="8"/>
            <color indexed="81"/>
            <rFont val="Tahoma"/>
            <family val="2"/>
          </rPr>
          <t>Factures de téléphone liées à l'activité. Abonnement Internet, Skype et autres forfaits de téléphonie.</t>
        </r>
        <r>
          <rPr>
            <sz val="8"/>
            <color indexed="81"/>
            <rFont val="Tahoma"/>
            <family val="2"/>
          </rPr>
          <t xml:space="preserve">
</t>
        </r>
      </text>
    </comment>
    <comment ref="A23" authorId="0" shapeId="0" xr:uid="{00000000-0006-0000-0D00-000005000000}">
      <text>
        <r>
          <rPr>
            <sz val="8"/>
            <color indexed="81"/>
            <rFont val="Tahoma"/>
            <family val="2"/>
          </rPr>
          <t xml:space="preserve">mandat de la fiduciaire et de l'éventuel réviseur au comptes.
</t>
        </r>
      </text>
    </comment>
    <comment ref="A25" authorId="0" shapeId="0" xr:uid="{00000000-0006-0000-0D00-000006000000}">
      <text>
        <r>
          <rPr>
            <sz val="8"/>
            <color indexed="81"/>
            <rFont val="Tahoma"/>
            <family val="2"/>
          </rPr>
          <t>Autres charges qui ne sont pas mentionnées dans les rubriques précédentes.</t>
        </r>
        <r>
          <rPr>
            <sz val="8"/>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Nespresso</author>
  </authors>
  <commentList>
    <comment ref="A5" authorId="0" shapeId="0" xr:uid="{00000000-0006-0000-1300-000001000000}">
      <text>
        <r>
          <rPr>
            <sz val="8"/>
            <color indexed="81"/>
            <rFont val="Tahoma"/>
            <family val="2"/>
          </rPr>
          <t>Indique le pourcentage de fonds propres par rapport au total du bilan.
Plus ce ratio est élevé et plus l'entreprise "appartient" à son/ses propriétaires (notion d'autofinancement du projet). Dénote d'une certaine solidité.</t>
        </r>
      </text>
    </comment>
    <comment ref="A6" authorId="0" shapeId="0" xr:uid="{00000000-0006-0000-1300-000002000000}">
      <text>
        <r>
          <rPr>
            <sz val="8"/>
            <color indexed="81"/>
            <rFont val="Tahoma"/>
            <family val="2"/>
          </rPr>
          <t xml:space="preserve">Indique le degré d'endettement de l'entreprise par rapport au total du bilan.
Plus ce ratio est élevé et plus l'entreprise "appartient" à des tiers (banque ou autres bailleurs de fonds).
Information:
Les banques sont particulièrement sensible à l'équilibre entre les fonds propres et les fonds étrangers.
</t>
        </r>
      </text>
    </comment>
    <comment ref="A7" authorId="0" shapeId="0" xr:uid="{00000000-0006-0000-1300-000003000000}">
      <text>
        <r>
          <rPr>
            <sz val="8"/>
            <color indexed="81"/>
            <rFont val="Tahoma"/>
            <family val="2"/>
          </rPr>
          <t xml:space="preserve">Les principes de gestion financière disent que le long terme doit être financé par des capitaux long terme.
Ce ratio indique dans quelle mesure les fonds propres financent les immobilisations (infrastructure de l'entreprise).
</t>
        </r>
      </text>
    </comment>
    <comment ref="A8" authorId="0" shapeId="0" xr:uid="{00000000-0006-0000-1300-000004000000}">
      <text>
        <r>
          <rPr>
            <sz val="8"/>
            <color indexed="81"/>
            <rFont val="Tahoma"/>
            <family val="2"/>
          </rPr>
          <t>Par rapport au ratio précédent, le degré de couverture 2 tient également compte des emprunts long terme de l'entreprise. 
Par convention, ce ratio devrait atteindre (voir dépasser) les 100%  indiquant ainsi l'adéquation entre l'utilisation et la provenance des fonds  à long terme.</t>
        </r>
        <r>
          <rPr>
            <sz val="8"/>
            <color indexed="81"/>
            <rFont val="Tahoma"/>
            <family val="2"/>
          </rPr>
          <t xml:space="preserve">
</t>
        </r>
      </text>
    </comment>
    <comment ref="A9" authorId="0" shapeId="0" xr:uid="{00000000-0006-0000-1300-000005000000}">
      <text>
        <r>
          <rPr>
            <sz val="8"/>
            <color indexed="81"/>
            <rFont val="Tahoma"/>
            <family val="2"/>
          </rPr>
          <t>Identique au ratio précédent en incluant toutefois les stocks minimaux nécessaires à l'activité de l'entreprise.
Ce ratio devrait donc être supérieur à 100%.</t>
        </r>
        <r>
          <rPr>
            <sz val="8"/>
            <color indexed="81"/>
            <rFont val="Tahoma"/>
            <family val="2"/>
          </rPr>
          <t xml:space="preserve">
</t>
        </r>
      </text>
    </comment>
    <comment ref="A12" authorId="0" shapeId="0" xr:uid="{00000000-0006-0000-1300-000006000000}">
      <text>
        <r>
          <rPr>
            <sz val="8"/>
            <color indexed="81"/>
            <rFont val="Tahoma"/>
            <family val="2"/>
          </rPr>
          <t>Indique dans quelle mesure l'entreprise peut faire face à ces dettes court terme en mobilisant ses ressources immédiatement disponibles (liquidités).</t>
        </r>
        <r>
          <rPr>
            <sz val="8"/>
            <color indexed="81"/>
            <rFont val="Tahoma"/>
            <family val="2"/>
          </rPr>
          <t xml:space="preserve">
</t>
        </r>
      </text>
    </comment>
    <comment ref="A13" authorId="0" shapeId="0" xr:uid="{00000000-0006-0000-1300-000007000000}">
      <text>
        <r>
          <rPr>
            <sz val="8"/>
            <color indexed="81"/>
            <rFont val="Tahoma"/>
            <family val="2"/>
          </rPr>
          <t>Identique au ratio précédent mais en incluant également les factures ouvertes des clients.
Il renseigne donc sur la capacité de l'entreprise à faire face à ses dettes court terme avec les liquidités disponibles plus le paiement immédiat de tous les débiteurs au bilan.
Ce ratio devrait atteindre les 100%.</t>
        </r>
      </text>
    </comment>
    <comment ref="A14" authorId="0" shapeId="0" xr:uid="{00000000-0006-0000-1300-000008000000}">
      <text>
        <r>
          <rPr>
            <sz val="8"/>
            <color indexed="81"/>
            <rFont val="Tahoma"/>
            <family val="2"/>
          </rPr>
          <t>Identique au ratio précédent en ajoutant la valeur des stocks. 
Il indique donc la capacité d'une entreprise à faire face à ses dettes court terme en mobilisant tous les actifs circulants (liquidités, paiement des débiteurs et liquidation des stocks).
Il doit donc atteindre un niveau supérieur à 100%.</t>
        </r>
        <r>
          <rPr>
            <sz val="8"/>
            <color indexed="81"/>
            <rFont val="Tahoma"/>
            <family val="2"/>
          </rPr>
          <t xml:space="preserve">
</t>
        </r>
      </text>
    </comment>
    <comment ref="A17" authorId="0" shapeId="0" xr:uid="{00000000-0006-0000-1300-000009000000}">
      <text>
        <r>
          <rPr>
            <sz val="8"/>
            <color indexed="81"/>
            <rFont val="Tahoma"/>
            <family val="2"/>
          </rPr>
          <t>En fonction des charges d'exploitation prévues, cet indicateur présente le degré de liquidités théoriques minimum idéal pour le lancement du projet (3 mois de charges d'exploitation).</t>
        </r>
        <r>
          <rPr>
            <sz val="8"/>
            <color indexed="81"/>
            <rFont val="Tahoma"/>
            <family val="2"/>
          </rPr>
          <t xml:space="preserve">
</t>
        </r>
      </text>
    </comment>
    <comment ref="A19" authorId="0" shapeId="0" xr:uid="{00000000-0006-0000-1300-00000A000000}">
      <text>
        <r>
          <rPr>
            <sz val="8"/>
            <color indexed="81"/>
            <rFont val="Tahoma"/>
            <family val="2"/>
          </rPr>
          <t xml:space="preserve">Indique, en fonction des deux éléments précédents, le besoin respectivement l'excédent des liquidités du projet.
</t>
        </r>
      </text>
    </comment>
    <comment ref="A22" authorId="0" shapeId="0" xr:uid="{00000000-0006-0000-1300-00000B000000}">
      <text>
        <r>
          <rPr>
            <sz val="8"/>
            <color indexed="81"/>
            <rFont val="Tahoma"/>
            <family val="2"/>
          </rPr>
          <t>Indique le chiffre d'affaires à réaliser pour atteindre le seuil de rentabilité de l'entreprise sur la période considérée.</t>
        </r>
        <r>
          <rPr>
            <sz val="8"/>
            <color indexed="81"/>
            <rFont val="Tahoma"/>
            <family val="2"/>
          </rPr>
          <t xml:space="preserve">
</t>
        </r>
      </text>
    </comment>
    <comment ref="A23" authorId="0" shapeId="0" xr:uid="{00000000-0006-0000-1300-00000C000000}">
      <text>
        <r>
          <rPr>
            <sz val="8"/>
            <color indexed="81"/>
            <rFont val="Tahoma"/>
            <family val="2"/>
          </rPr>
          <t>Seuil de rentabilité pour un mois standard.</t>
        </r>
        <r>
          <rPr>
            <sz val="8"/>
            <color indexed="81"/>
            <rFont val="Tahoma"/>
            <family val="2"/>
          </rPr>
          <t xml:space="preserve">
</t>
        </r>
      </text>
    </comment>
    <comment ref="A24" authorId="0" shapeId="0" xr:uid="{00000000-0006-0000-1300-00000D000000}">
      <text>
        <r>
          <rPr>
            <sz val="8"/>
            <color indexed="81"/>
            <rFont val="Tahoma"/>
            <family val="2"/>
          </rPr>
          <t>Seuil de rentabilité journalier théorique</t>
        </r>
      </text>
    </comment>
    <comment ref="A25" authorId="0" shapeId="0" xr:uid="{00000000-0006-0000-1300-00000E000000}">
      <text>
        <r>
          <rPr>
            <sz val="8"/>
            <color indexed="81"/>
            <rFont val="Tahoma"/>
            <family val="2"/>
          </rPr>
          <t xml:space="preserve">Taux de rendement des capitaux propres investis dans le projet. 
</t>
        </r>
        <r>
          <rPr>
            <sz val="8"/>
            <color indexed="81"/>
            <rFont val="Tahoma"/>
            <family val="2"/>
          </rPr>
          <t xml:space="preserve">
A comparer avec des éventuelles alternatives d'investissement.</t>
        </r>
      </text>
    </comment>
    <comment ref="A26" authorId="0" shapeId="0" xr:uid="{00000000-0006-0000-1300-00000F000000}">
      <text>
        <r>
          <rPr>
            <sz val="8"/>
            <color indexed="81"/>
            <rFont val="Tahoma"/>
            <family val="2"/>
          </rPr>
          <t>Rentabilité des actifs de l'entreprise.
Adéquation entre la structure et la production de richesses de l'entreprise.</t>
        </r>
        <r>
          <rPr>
            <sz val="8"/>
            <color indexed="81"/>
            <rFont val="Tahoma"/>
            <family val="2"/>
          </rPr>
          <t xml:space="preserve">
</t>
        </r>
      </text>
    </comment>
    <comment ref="A27" authorId="0" shapeId="0" xr:uid="{00000000-0006-0000-1300-000010000000}">
      <text>
        <r>
          <rPr>
            <sz val="8"/>
            <color indexed="81"/>
            <rFont val="Tahoma"/>
            <family val="2"/>
          </rPr>
          <t>Indique la marge brute pondérée de l'entreprise sur l'ensemble de ses produits/services.</t>
        </r>
        <r>
          <rPr>
            <sz val="8"/>
            <color indexed="81"/>
            <rFont val="Tahoma"/>
            <family val="2"/>
          </rPr>
          <t xml:space="preserve">
</t>
        </r>
      </text>
    </comment>
    <comment ref="A28" authorId="0" shapeId="0" xr:uid="{00000000-0006-0000-1300-000011000000}">
      <text>
        <r>
          <rPr>
            <sz val="8"/>
            <color indexed="81"/>
            <rFont val="Tahoma"/>
            <family val="2"/>
          </rPr>
          <t>Résultat net + amortissements.
Indique la capacité d'autofinancement de l'entreprise.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Thomas Papanikolaou</author>
  </authors>
  <commentList>
    <comment ref="K47" authorId="0" shapeId="0" xr:uid="{00000000-0006-0000-0300-000001000000}">
      <text>
        <r>
          <rPr>
            <sz val="9"/>
            <color indexed="81"/>
            <rFont val="Calibri"/>
            <family val="2"/>
          </rPr>
          <t xml:space="preserve">Revenue Model
Life Time Value
Revenue
Gross Margin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Nespresso</author>
    <author>Dan NOEL</author>
  </authors>
  <commentList>
    <comment ref="B15" authorId="0" shapeId="0" xr:uid="{00000000-0006-0000-0400-000001000000}">
      <text>
        <r>
          <rPr>
            <sz val="8"/>
            <color indexed="81"/>
            <rFont val="Tahoma"/>
          </rPr>
          <t>Pour une raison individuelle, doit obligatoirement mentionner le nom de famille du créateur.
Pour une SNC, soit tous les noms des associés soit 1 nom + Cie, Frères, Fils, …
Pour une SA mention de "SA" facultatif après le nom.
Pour une Sàrl, mention obligatoire de "Sàrl" après le nom.</t>
        </r>
      </text>
    </comment>
    <comment ref="B25" authorId="0" shapeId="0" xr:uid="{00000000-0006-0000-0400-000002000000}">
      <text>
        <r>
          <rPr>
            <sz val="8"/>
            <color indexed="81"/>
            <rFont val="Tahoma"/>
            <family val="2"/>
          </rPr>
          <t>Mentionner ici la date de début de la projection. Attention utiliser le format texte.</t>
        </r>
      </text>
    </comment>
    <comment ref="B26" authorId="0" shapeId="0" xr:uid="{00000000-0006-0000-0400-000003000000}">
      <text>
        <r>
          <rPr>
            <sz val="8"/>
            <color indexed="81"/>
            <rFont val="Tahoma"/>
            <family val="2"/>
          </rPr>
          <t xml:space="preserve">Mentionner ici la date de la fin de la projection. Attention utiliser le format texte.
</t>
        </r>
      </text>
    </comment>
    <comment ref="B29" authorId="0" shapeId="0" xr:uid="{00000000-0006-0000-0400-000004000000}">
      <text>
        <r>
          <rPr>
            <sz val="8"/>
            <color indexed="81"/>
            <rFont val="Tahoma"/>
            <family val="2"/>
          </rPr>
          <t xml:space="preserve">Sur combien de mois par an (base année = 12 mois) sera réalisé le chiffres d'affaires. 
Plus l'activité sera marquée par un aspect saisonnier plus le nombre de mois sera faible. Attention tenir compte des éventuelles vacances ainsi que les périodes creuses.
</t>
        </r>
      </text>
    </comment>
    <comment ref="B30" authorId="0" shapeId="0" xr:uid="{00000000-0006-0000-0400-000005000000}">
      <text>
        <r>
          <rPr>
            <sz val="8"/>
            <color indexed="81"/>
            <rFont val="Tahoma"/>
            <family val="2"/>
          </rPr>
          <t>Indiquer le nombre théorique de jours travaillés lors d'une semaine standard 
(exemple: du lundi au vendredi = 5 jours)</t>
        </r>
        <r>
          <rPr>
            <sz val="8"/>
            <color indexed="81"/>
            <rFont val="Tahoma"/>
            <family val="2"/>
          </rPr>
          <t xml:space="preserve">
</t>
        </r>
      </text>
    </comment>
    <comment ref="B35" authorId="0" shapeId="0" xr:uid="{00000000-0006-0000-0400-000006000000}">
      <text>
        <r>
          <rPr>
            <sz val="8"/>
            <color indexed="81"/>
            <rFont val="Tahoma"/>
            <family val="2"/>
          </rPr>
          <t>Correspond au taux de charges sociales pour la part employeur à prévoir pour les salariés.
Valable pour les collaborateurs dans tous les cas et le(s) fondateur(s) pour la SA et la Sàrl. En général compter entre  15% et 18%.
Attention: prévoir un taux plus élevé en fonction de l'âge des salariés.</t>
        </r>
        <r>
          <rPr>
            <sz val="8"/>
            <color indexed="81"/>
            <rFont val="Tahoma"/>
            <family val="2"/>
          </rPr>
          <t xml:space="preserve">
</t>
        </r>
      </text>
    </comment>
    <comment ref="B37" authorId="0" shapeId="0" xr:uid="{00000000-0006-0000-0400-000007000000}">
      <text>
        <r>
          <rPr>
            <sz val="8"/>
            <color indexed="81"/>
            <rFont val="Tahoma"/>
            <family val="2"/>
          </rPr>
          <t>Taux d'intérêts calculé par la banque pour la limite de crédit.
Attention: ce taux dépend fortement de la classe de risques du client...</t>
        </r>
        <r>
          <rPr>
            <sz val="8"/>
            <color indexed="81"/>
            <rFont val="Tahoma"/>
            <family val="2"/>
          </rPr>
          <t xml:space="preserve">
</t>
        </r>
      </text>
    </comment>
    <comment ref="B38" authorId="0" shapeId="0" xr:uid="{00000000-0006-0000-0400-000008000000}">
      <text>
        <r>
          <rPr>
            <sz val="8"/>
            <color indexed="81"/>
            <rFont val="Tahoma"/>
            <family val="2"/>
          </rPr>
          <t xml:space="preserve">Taux d'intérêts calculés par la banque pour les emprunts long terme (crédit, crédit d'investissement, ATF,…)
</t>
        </r>
      </text>
    </comment>
    <comment ref="B39" authorId="0" shapeId="0" xr:uid="{00000000-0006-0000-0400-000009000000}">
      <text>
        <r>
          <rPr>
            <sz val="8"/>
            <color indexed="81"/>
            <rFont val="Tahoma"/>
            <family val="2"/>
          </rPr>
          <t xml:space="preserve">Taux d'intérêts à appliquer pour les autres prêts long terme (famille, amis, partenaires,…).
</t>
        </r>
      </text>
    </comment>
    <comment ref="A42" authorId="1" shapeId="0" xr:uid="{00000000-0006-0000-0400-00000A000000}">
      <text>
        <r>
          <rPr>
            <b/>
            <sz val="9"/>
            <color indexed="81"/>
            <rFont val="Arial"/>
          </rPr>
          <t>MES Gestion:</t>
        </r>
        <r>
          <rPr>
            <sz val="9"/>
            <color indexed="81"/>
            <rFont val="Arial"/>
          </rPr>
          <t xml:space="preserve">
Si vous optez pour la société en noms collectif, il convient d'introduire ici les parts au capital de chacun des associés.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Nespresso</author>
  </authors>
  <commentList>
    <comment ref="E4" authorId="0" shapeId="0" xr:uid="{00000000-0006-0000-0600-000001000000}">
      <text>
        <r>
          <rPr>
            <sz val="8"/>
            <color indexed="81"/>
            <rFont val="Tahoma"/>
            <family val="2"/>
          </rPr>
          <t>S'agit-il du créateur de l'entreprise en raison individuelle ou d'une SNC?</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Nespresso</author>
  </authors>
  <commentList>
    <comment ref="B12" authorId="0" shapeId="0" xr:uid="{00000000-0006-0000-0700-000001000000}">
      <text>
        <r>
          <rPr>
            <sz val="8"/>
            <color indexed="81"/>
            <rFont val="Tahoma"/>
            <family val="2"/>
          </rPr>
          <t>Quelle est la part de ce produit/prestation dans le chiffre d'affaires global?
Exemple: 100 = 100%</t>
        </r>
        <r>
          <rPr>
            <sz val="8"/>
            <color indexed="81"/>
            <rFont val="Tahoma"/>
            <family val="2"/>
          </rPr>
          <t xml:space="preserve">
</t>
        </r>
      </text>
    </comment>
    <comment ref="C12" authorId="0" shapeId="0" xr:uid="{00000000-0006-0000-0700-000002000000}">
      <text>
        <r>
          <rPr>
            <sz val="8"/>
            <color indexed="81"/>
            <rFont val="Tahoma"/>
            <family val="2"/>
          </rPr>
          <t>Lorsque vous réalisez une vente de 100 de ce produit/prestation, quelle est la part de frais variables (fournisseurs,…)?</t>
        </r>
        <r>
          <rPr>
            <sz val="8"/>
            <color indexed="81"/>
            <rFont val="Tahoma"/>
            <family val="2"/>
          </rPr>
          <t xml:space="preserve">
Exemple: 50 = 50% de mon chiffre d'affaires sert à payer mes fournisseurs.</t>
        </r>
      </text>
    </comment>
    <comment ref="D12" authorId="0" shapeId="0" xr:uid="{00000000-0006-0000-0700-000003000000}">
      <text>
        <r>
          <rPr>
            <sz val="8"/>
            <color indexed="81"/>
            <rFont val="Tahoma"/>
            <family val="2"/>
          </rPr>
          <t>Quel délai de paiement accordez-vous à vos clients?
Attention tenir compte des pratiques du secteur.</t>
        </r>
        <r>
          <rPr>
            <sz val="8"/>
            <color indexed="81"/>
            <rFont val="Tahoma"/>
            <family val="2"/>
          </rPr>
          <t xml:space="preserve">
</t>
        </r>
      </text>
    </comment>
    <comment ref="E12" authorId="0" shapeId="0" xr:uid="{00000000-0006-0000-0700-000004000000}">
      <text>
        <r>
          <rPr>
            <sz val="8"/>
            <color indexed="81"/>
            <rFont val="Tahoma"/>
            <family val="2"/>
          </rPr>
          <t>Quel délais de paiement obtenez-vous de vos fournisseurs?
Attention tenir compte de la pratique du secteur.</t>
        </r>
        <r>
          <rPr>
            <sz val="8"/>
            <color indexed="81"/>
            <rFont val="Tahoma"/>
            <family val="2"/>
          </rPr>
          <t xml:space="preserve">
</t>
        </r>
      </text>
    </comment>
    <comment ref="A20" authorId="0" shapeId="0" xr:uid="{00000000-0006-0000-0700-000005000000}">
      <text>
        <r>
          <rPr>
            <sz val="8"/>
            <color indexed="81"/>
            <rFont val="Tahoma"/>
            <family val="2"/>
          </rPr>
          <t>Comment souhaitez-vous être perçu par vos clients?
Quelle image souhaitez-vous donner?
Quel est l'"ADN" de votre marque?</t>
        </r>
      </text>
    </comment>
    <comment ref="A30" authorId="0" shapeId="0" xr:uid="{00000000-0006-0000-0700-000006000000}">
      <text>
        <r>
          <rPr>
            <sz val="8"/>
            <color indexed="81"/>
            <rFont val="Tahoma"/>
            <family val="2"/>
          </rPr>
          <t>Comment votre prix sera-t-il positionné par rapport au marché actuel?
Dans la moyenne, en-dessous, au-dessus,.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Nespresso</author>
  </authors>
  <commentList>
    <comment ref="B21" authorId="0" shapeId="0" xr:uid="{00000000-0006-0000-0800-000001000000}">
      <text>
        <r>
          <rPr>
            <sz val="8"/>
            <color indexed="81"/>
            <rFont val="Tahoma"/>
            <family val="2"/>
          </rPr>
          <t xml:space="preserve">Introduire la légende des modes de contact que vous allez utiliser.
Exemple: T= téléphone, I= Internet, M = Mailing, ...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Nespresso</author>
  </authors>
  <commentList>
    <comment ref="A4" authorId="0" shapeId="0" xr:uid="{00000000-0006-0000-0900-000001000000}">
      <text>
        <r>
          <rPr>
            <sz val="8"/>
            <color indexed="81"/>
            <rFont val="Tahoma"/>
            <family val="2"/>
          </rPr>
          <t>Comment pouvez-vous décrire votre marché à un néophyte?
Exemples:
Dans quel phase de son cycle de vie se situe-t-il? S'agit-t-il d'un marché ouvert ou au contraire ultra-fermé avec des barrières à l'entrée, ...</t>
        </r>
      </text>
    </comment>
    <comment ref="A12" authorId="0" shapeId="0" xr:uid="{00000000-0006-0000-0900-000002000000}">
      <text>
        <r>
          <rPr>
            <sz val="8"/>
            <color indexed="81"/>
            <rFont val="Tahoma"/>
            <family val="2"/>
          </rPr>
          <t>Pourquoi chez vous et pas chez les autres?
Quelle est votre stratégie pour vous imposer sur le marché?</t>
        </r>
        <r>
          <rPr>
            <sz val="8"/>
            <color indexed="81"/>
            <rFont val="Tahoma"/>
            <family val="2"/>
          </rPr>
          <t xml:space="preserve">
</t>
        </r>
      </text>
    </comment>
    <comment ref="A30" authorId="0" shapeId="0" xr:uid="{00000000-0006-0000-0900-000003000000}">
      <text>
        <r>
          <rPr>
            <sz val="8"/>
            <color indexed="81"/>
            <rFont val="Tahoma"/>
            <family val="2"/>
          </rPr>
          <t>Quel rôle souhaitez-vous jouer sur le marché?
Etre un/le leader? Occuper un rôle de spécialiste? Jouer la carte de la niche très spécialisée?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Nespresso</author>
  </authors>
  <commentList>
    <comment ref="B3" authorId="0" shapeId="0" xr:uid="{00000000-0006-0000-0A00-000001000000}">
      <text>
        <r>
          <rPr>
            <sz val="8"/>
            <color indexed="81"/>
            <rFont val="Tahoma"/>
            <family val="2"/>
          </rPr>
          <t>ATTENTION: Le bilan initial doit toujours être équilibré. Cette case mentionne V lorsque c'est le cas. Si un X apparait recherchez les éventuelles erreurs.</t>
        </r>
        <r>
          <rPr>
            <sz val="8"/>
            <color indexed="81"/>
            <rFont val="Tahoma"/>
            <family val="2"/>
          </rPr>
          <t xml:space="preserve">
</t>
        </r>
      </text>
    </comment>
    <comment ref="A10" authorId="0" shapeId="0" xr:uid="{00000000-0006-0000-0A00-000002000000}">
      <text>
        <r>
          <rPr>
            <sz val="8"/>
            <color indexed="81"/>
            <rFont val="Tahoma"/>
            <family val="2"/>
          </rPr>
          <t xml:space="preserve">Configurer les actifs en cliquant  sur ce lien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Nespresso</author>
  </authors>
  <commentList>
    <comment ref="A1" authorId="0" shapeId="0" xr:uid="{00000000-0006-0000-0C00-000001000000}">
      <text>
        <r>
          <rPr>
            <sz val="8"/>
            <color indexed="81"/>
            <rFont val="Tahoma"/>
            <family val="2"/>
          </rPr>
          <t>Introduire les éventuels investissements à réaliser entre la date de début et la date de fin de projection. Les actifs nécessaires acquis avant l'ouverture doivent être enregistrés dans les actifs du bilan initial.</t>
        </r>
        <r>
          <rPr>
            <sz val="8"/>
            <color indexed="81"/>
            <rFont val="Tahoma"/>
            <family val="2"/>
          </rPr>
          <t xml:space="preserve">
</t>
        </r>
      </text>
    </comment>
  </commentList>
</comments>
</file>

<file path=xl/sharedStrings.xml><?xml version="1.0" encoding="utf-8"?>
<sst xmlns="http://schemas.openxmlformats.org/spreadsheetml/2006/main" count="695" uniqueCount="449">
  <si>
    <t>Seuil de rentabilité de la période</t>
  </si>
  <si>
    <t>Objectif de chiffre d'affaires mensuel</t>
  </si>
  <si>
    <t>Objectif de chiffre d'affaires journalier</t>
  </si>
  <si>
    <t>Degré de couverture 1 
(fonds propres par rapport aux immobilisations)</t>
  </si>
  <si>
    <t>Degré de couverture 2 
(capitaux long terme par rapport aux immobilisations)</t>
  </si>
  <si>
    <t>Degré de couverture 3
(capitaux long terme / immobilisations + stocks minimal)</t>
  </si>
  <si>
    <t>Sponsoring</t>
  </si>
  <si>
    <t>Portes-ouvertes</t>
  </si>
  <si>
    <t>Relations publiques</t>
  </si>
  <si>
    <t>Opérations promotionnelles</t>
  </si>
  <si>
    <t>Catalogues</t>
  </si>
  <si>
    <t>%</t>
  </si>
  <si>
    <t>Politique de prix</t>
  </si>
  <si>
    <t>Press-book</t>
  </si>
  <si>
    <t>Mailing courrier ciblé</t>
  </si>
  <si>
    <t>Mailing fax ciblé</t>
  </si>
  <si>
    <t>TV régionale</t>
  </si>
  <si>
    <t>Journaux locaux</t>
  </si>
  <si>
    <t>Journaux spécialisés</t>
  </si>
  <si>
    <t>Magazines spécialisés</t>
  </si>
  <si>
    <t>Déco véhicule</t>
  </si>
  <si>
    <t>Bâches publicitaires</t>
  </si>
  <si>
    <t>Matin</t>
  </si>
  <si>
    <t>Après-midi</t>
  </si>
  <si>
    <t>Lundi</t>
  </si>
  <si>
    <t>Mardi</t>
  </si>
  <si>
    <t>Mercredi</t>
  </si>
  <si>
    <t>Jeudi</t>
  </si>
  <si>
    <t>Principal avantage pour le client</t>
  </si>
  <si>
    <t>Données financières</t>
  </si>
  <si>
    <t>Couples marché/produit</t>
  </si>
  <si>
    <t>Priorité</t>
  </si>
  <si>
    <t>Approche</t>
  </si>
  <si>
    <t>Prioritaire</t>
  </si>
  <si>
    <t>Secondaire</t>
  </si>
  <si>
    <t>Marginale</t>
  </si>
  <si>
    <t>Type d'approche</t>
  </si>
  <si>
    <t>Durée de vie</t>
  </si>
  <si>
    <t>Taux Amort.</t>
  </si>
  <si>
    <t>Amort. / an</t>
  </si>
  <si>
    <t>Amort. Pér.</t>
  </si>
  <si>
    <t>TOTAL machines, appareils, outils, ….</t>
  </si>
  <si>
    <t>Machines, appareils, outils,…</t>
  </si>
  <si>
    <t>TOTAL machines de bureau, informatique, …</t>
  </si>
  <si>
    <t>Stocks (produits destinés à la vente, matières premières)</t>
  </si>
  <si>
    <t>Machines, appareils, outils, équipements de production et d'entreposage</t>
  </si>
  <si>
    <t>Véhicules</t>
  </si>
  <si>
    <t>Immobilisations corporelles (immeubles et terrains)</t>
  </si>
  <si>
    <t>Total des actifs immobilisés</t>
  </si>
  <si>
    <t>Total des actifs</t>
  </si>
  <si>
    <t>Fonds propres/capital social/capital-actions</t>
  </si>
  <si>
    <t>Résultat brut (bénéfice brut)</t>
  </si>
  <si>
    <t>Frais de locaux</t>
  </si>
  <si>
    <t>Assurances de choses, taxes, droits, autorisations</t>
  </si>
  <si>
    <t>Adresse email</t>
  </si>
  <si>
    <t>Date de début de l'activité</t>
  </si>
  <si>
    <t>NPA / Ville</t>
  </si>
  <si>
    <t>Durée de la projection en mois</t>
  </si>
  <si>
    <t>Date de fin de la projection</t>
  </si>
  <si>
    <t>Nombre de jours de travail par semaine</t>
  </si>
  <si>
    <t>Nombre de jours de la projection</t>
  </si>
  <si>
    <t>Nom et prénom du créateur</t>
  </si>
  <si>
    <t>Numéro téléphone</t>
  </si>
  <si>
    <t>Idée commerciale</t>
  </si>
  <si>
    <t>Besoins financiers et conditions du succès</t>
  </si>
  <si>
    <t>Carrière / formation</t>
  </si>
  <si>
    <t>Domaine d'activité</t>
  </si>
  <si>
    <t>Facteurs de motivation et d'expérience</t>
  </si>
  <si>
    <t>Positionnement des produits/services sur le marché</t>
  </si>
  <si>
    <t>Gamme de prix et tarifs</t>
  </si>
  <si>
    <t xml:space="preserve">Réductions et conditions </t>
  </si>
  <si>
    <t>Qualification des tarifs définis</t>
  </si>
  <si>
    <t>Marge en %</t>
  </si>
  <si>
    <t>Total des charges d'exploitation</t>
  </si>
  <si>
    <t>Charges de téléphone (tél., fax, internet, …)</t>
  </si>
  <si>
    <t>Frais de gestion et honoraires juridiques</t>
  </si>
  <si>
    <t>Seuil de rentabilité</t>
  </si>
  <si>
    <t>Chiffre d'affaire mensuel à réaliser</t>
  </si>
  <si>
    <t xml:space="preserve">Objectifs de chiffres d'affaires journalier </t>
  </si>
  <si>
    <t>Salaires de l'exploitant (net)</t>
  </si>
  <si>
    <t>Liquidité minimum d'exploitation</t>
  </si>
  <si>
    <t>Liquidité au bilan initial</t>
  </si>
  <si>
    <t>Trésorerie</t>
  </si>
  <si>
    <t>Assurances de choses, taxes et autres droits</t>
  </si>
  <si>
    <t>Assurance Responsabilité Civile</t>
  </si>
  <si>
    <t>Protection juridique</t>
  </si>
  <si>
    <t>Autres</t>
  </si>
  <si>
    <t>Budget Marketing et publicité</t>
  </si>
  <si>
    <t>Démarchage, suivi et prise par téléphone</t>
  </si>
  <si>
    <t>Budget global (à utiliser si pas de détail)</t>
  </si>
  <si>
    <t>Tout-ménage</t>
  </si>
  <si>
    <t>Taux annuel</t>
  </si>
  <si>
    <t xml:space="preserve">Frais </t>
  </si>
  <si>
    <t>Coût annuel</t>
  </si>
  <si>
    <t>Plan commercial et planification financière</t>
  </si>
  <si>
    <t>1. Informations de base</t>
  </si>
  <si>
    <t>Liquidités disponibles au début de la période</t>
  </si>
  <si>
    <t>Versements de débiteurs au bilan initial</t>
  </si>
  <si>
    <t>Paiement des créanciers au bilan initial</t>
  </si>
  <si>
    <t>Ventes (chiffre d'affaires de la période)</t>
  </si>
  <si>
    <t>Factures clients ouvertes à la fin de la période</t>
  </si>
  <si>
    <t>Achats fournisseurs de la période</t>
  </si>
  <si>
    <t>Factures ouvertes à la fin de la période</t>
  </si>
  <si>
    <t>Dépenses d'investissements durant la période</t>
  </si>
  <si>
    <t>Remboursement des emprunts à long terme</t>
  </si>
  <si>
    <t>Vendredi</t>
  </si>
  <si>
    <t>Samedi</t>
  </si>
  <si>
    <t>Dimanche</t>
  </si>
  <si>
    <t>Total</t>
  </si>
  <si>
    <t>Fonds propres</t>
  </si>
  <si>
    <t>Montant</t>
  </si>
  <si>
    <t>Amortissements</t>
  </si>
  <si>
    <t>Encarts programmes</t>
  </si>
  <si>
    <t>Gadgets publicitaires</t>
  </si>
  <si>
    <t>Site internet</t>
  </si>
  <si>
    <t>Description</t>
  </si>
  <si>
    <t>Nombre de jours par mois</t>
  </si>
  <si>
    <t>Tabelle taux AVS</t>
  </si>
  <si>
    <t>mais inférieur à</t>
  </si>
  <si>
    <t>Supérieur à</t>
  </si>
  <si>
    <t>Salaire annuel ?</t>
  </si>
  <si>
    <t>Capital ?</t>
  </si>
  <si>
    <t>Fr.</t>
  </si>
  <si>
    <t>Tx frais caisse compensation</t>
  </si>
  <si>
    <t>% AVS</t>
  </si>
  <si>
    <t>Cotisation AVS</t>
  </si>
  <si>
    <t>+ Frais de gestion</t>
  </si>
  <si>
    <t>Cotisation AVS Totale</t>
  </si>
  <si>
    <t>Coefficient AVS ou NON</t>
  </si>
  <si>
    <t xml:space="preserve">Cotisation forfaitaire pour tout revenu annuel inférieur à Fr. </t>
  </si>
  <si>
    <t>Déduction s/salaire imposable</t>
  </si>
  <si>
    <t>Revenu imposable ?</t>
  </si>
  <si>
    <t>Tx de déduction CCNC</t>
  </si>
  <si>
    <t>Adresse</t>
  </si>
  <si>
    <t>Flyers</t>
  </si>
  <si>
    <t>Logo + Cartes de visite</t>
  </si>
  <si>
    <t>Radio locale : RTN,…</t>
  </si>
  <si>
    <t>Forme juridique</t>
  </si>
  <si>
    <t>Société à responsabilité limitée</t>
  </si>
  <si>
    <t>Société anonyme</t>
  </si>
  <si>
    <t>Raison sociale</t>
  </si>
  <si>
    <t>Adresse du siège</t>
  </si>
  <si>
    <t>Téléphone mobile</t>
  </si>
  <si>
    <t>Contact email</t>
  </si>
  <si>
    <t>Téléphone fixe</t>
  </si>
  <si>
    <t>Ressources humaines</t>
  </si>
  <si>
    <t>Prénom &amp; Nom</t>
  </si>
  <si>
    <t>Dir. RI o/n</t>
  </si>
  <si>
    <t>Fonction / mission</t>
  </si>
  <si>
    <t>Charges salariales de l'entreprise</t>
  </si>
  <si>
    <t>Produits / prestations</t>
  </si>
  <si>
    <t>Produit / prestation</t>
  </si>
  <si>
    <t>TOTAL DES IMMOBILISATIONS</t>
  </si>
  <si>
    <t>TOTAL DES INVESTISSEMENTS</t>
  </si>
  <si>
    <t>Intérêts</t>
  </si>
  <si>
    <t>Commentaires</t>
  </si>
  <si>
    <t>Annexe 3: Détail des charges d'exploitation (base 12 mois)</t>
  </si>
  <si>
    <t>Source de financement</t>
  </si>
  <si>
    <t>Annexe 1: Compte d'exploitation (base 12 mois)</t>
  </si>
  <si>
    <t>Livraisons de produits et prestations (chiffre d'affaires)</t>
  </si>
  <si>
    <t>Frais de matériel, marchandises et prestations (frais variables)</t>
  </si>
  <si>
    <t>Salaires des collaborateurs (brut)</t>
  </si>
  <si>
    <t xml:space="preserve">Micro Business plan </t>
  </si>
  <si>
    <t>Machines de bureau, informatique, systèmes de communication, mobilier</t>
  </si>
  <si>
    <t>Machines de bureau, systèmes  informatiques, systèmes de communication, mobilier de bureau</t>
  </si>
  <si>
    <t>TOTAL véhicules</t>
  </si>
  <si>
    <t>TOTAL immeubles et terrains</t>
  </si>
  <si>
    <t>TOTAL immobilisations incorporelles</t>
  </si>
  <si>
    <t>Niveau 1</t>
  </si>
  <si>
    <t>Niveau 2</t>
  </si>
  <si>
    <t>% MB</t>
  </si>
  <si>
    <t>C.A. Total</t>
  </si>
  <si>
    <t>% du chiffre d'affaires</t>
  </si>
  <si>
    <t>Niveau de la trésorerie en fin de période</t>
  </si>
  <si>
    <t>Charges énergétiques et liées à la collecte des déchets</t>
  </si>
  <si>
    <t>Charges administratives et informatiques</t>
  </si>
  <si>
    <t>Charges liées à la publicité</t>
  </si>
  <si>
    <t>Charges d'intérêts</t>
  </si>
  <si>
    <t>Résultat d'exploitation</t>
  </si>
  <si>
    <t>Ratios financiers</t>
  </si>
  <si>
    <t>Degré de financement propre</t>
  </si>
  <si>
    <t>Taux d'endettement</t>
  </si>
  <si>
    <t>Ratios de liquidités</t>
  </si>
  <si>
    <t>Degré de liquidité 1 (cash ratio)</t>
  </si>
  <si>
    <t>Degré de liquidité 2 (quick ratio)</t>
  </si>
  <si>
    <t>Degré de liquidité 3 (current ratio)</t>
  </si>
  <si>
    <t>Rendement du capital propre</t>
  </si>
  <si>
    <t>Rentabilité des actifs</t>
  </si>
  <si>
    <t>Liquidités et titres (caisse, poste, banque)</t>
  </si>
  <si>
    <t>Créances (clients - débiteurs)</t>
  </si>
  <si>
    <t>Immobilisations incorporelles (brevets, licences, goodwill, frais de fondation)</t>
  </si>
  <si>
    <t>Charges sociales de l'exploitant</t>
  </si>
  <si>
    <t>Salaires des collaborateurs</t>
  </si>
  <si>
    <t>Charges sociales des collaborateurs</t>
  </si>
  <si>
    <t>Marge brute  %</t>
  </si>
  <si>
    <t>Voyages professionnels</t>
  </si>
  <si>
    <t>Frais de transports publics</t>
  </si>
  <si>
    <t>Essence</t>
  </si>
  <si>
    <t>Prix moyen du carburant</t>
  </si>
  <si>
    <t>Total de l'année</t>
  </si>
  <si>
    <t>Consommation moyenne du véhicule / 100kms</t>
  </si>
  <si>
    <t>Frais de déplacements et de voyages</t>
  </si>
  <si>
    <t>AVS, AI, APG obligatoire</t>
  </si>
  <si>
    <t xml:space="preserve">Perte de gains maladie </t>
  </si>
  <si>
    <t>Assurance accident (LAA)</t>
  </si>
  <si>
    <t>Passifs à court terme résultant des livraisons et prestations de services (comptes créanciers/fournisseurs)</t>
  </si>
  <si>
    <t>Passifs financiers à long terme (dettes de la banque à long terme, crédits d'investissements, dettes hypothécaires)</t>
  </si>
  <si>
    <t xml:space="preserve">Autres éléments de passif à long terme (prêts des proches ou famille, …) </t>
  </si>
  <si>
    <t>Immobilisations financières (prêts à long terme)</t>
  </si>
  <si>
    <t>Passifs financiers à long terme (dettes de la banque à long terme)</t>
  </si>
  <si>
    <t>Montant</t>
    <phoneticPr fontId="4" type="noConversion"/>
  </si>
  <si>
    <t>Passifs à court terme</t>
  </si>
  <si>
    <t>Total des capitaux étrangers à court terme</t>
  </si>
  <si>
    <t>Capitaux étrangers à long terme</t>
  </si>
  <si>
    <t>Total des capitaux étrangers à long terme</t>
  </si>
  <si>
    <t>Total des fonds propres</t>
  </si>
  <si>
    <t>Total des passifs</t>
  </si>
  <si>
    <t>Actifs immobilisés</t>
  </si>
  <si>
    <t>Total des actifs circulants</t>
  </si>
  <si>
    <t>Actifs circulants</t>
  </si>
  <si>
    <t>Autres charges d’exploitation et représentation</t>
  </si>
  <si>
    <t>Remboursement des autres passifs long terme</t>
  </si>
  <si>
    <t>Etat de la trésorerie à la fin de la période</t>
  </si>
  <si>
    <t>Charges d'exploitation de la période (effet monétaire)</t>
  </si>
  <si>
    <t>Résultat de l'exercice</t>
  </si>
  <si>
    <t>Canton</t>
  </si>
  <si>
    <t>NE</t>
  </si>
  <si>
    <t>Cotisation caisse ALFA</t>
  </si>
  <si>
    <t>BE</t>
  </si>
  <si>
    <t>Charges sociales Ind.</t>
  </si>
  <si>
    <t>Délais</t>
  </si>
  <si>
    <t>Encaiss.</t>
  </si>
  <si>
    <t>Paiement</t>
  </si>
  <si>
    <t>Nb jours théoriques de la période base 30j/mois</t>
  </si>
  <si>
    <t>C.A. période</t>
  </si>
  <si>
    <t>F.V. période</t>
  </si>
  <si>
    <t>Débiteurs prév.</t>
  </si>
  <si>
    <t>Fournisseurs prév.</t>
  </si>
  <si>
    <t>Données personnelles</t>
  </si>
  <si>
    <t>Données du projet</t>
  </si>
  <si>
    <t xml:space="preserve">Nombre de mois de travail par an </t>
  </si>
  <si>
    <t>Taux d'intérêts du C/C bancaire</t>
  </si>
  <si>
    <t>Taux d'intérêts passif financier long terme</t>
  </si>
  <si>
    <t>Raison individuelle</t>
  </si>
  <si>
    <t>Société en noms collectif</t>
  </si>
  <si>
    <t>Charges d'intérêts et frais financiers</t>
  </si>
  <si>
    <t>Marge brute d'autofinancement (cash-flow)</t>
  </si>
  <si>
    <t>Simulation seuil de rentabilité</t>
  </si>
  <si>
    <t>Prévision des ventes</t>
  </si>
  <si>
    <t>Oui</t>
  </si>
  <si>
    <t>Non</t>
  </si>
  <si>
    <t>Poids dans le C.A. en %</t>
  </si>
  <si>
    <t>Délai d'encaissement (j)</t>
  </si>
  <si>
    <t>Délai de paiement (j)</t>
  </si>
  <si>
    <t>Importance</t>
  </si>
  <si>
    <t>Cibles visées</t>
  </si>
  <si>
    <t>3. Portrait de l'entreprise</t>
  </si>
  <si>
    <t>4. Produits / prestations</t>
  </si>
  <si>
    <t>5. Cibles de clientèle</t>
  </si>
  <si>
    <t>6. Analyse du marché / concurrence</t>
  </si>
  <si>
    <t>8. Inventaires des immobilisations</t>
  </si>
  <si>
    <t>Annexe 1: Compte d'exploitation base 12 mois</t>
  </si>
  <si>
    <t>Annexe 2: Coûts du financement</t>
  </si>
  <si>
    <t>11. Plan des liquidités prévisionnelles</t>
  </si>
  <si>
    <t>13. Ratios et analyse du projet</t>
  </si>
  <si>
    <t>Remarques</t>
  </si>
  <si>
    <t>2. Résumé du projet</t>
  </si>
  <si>
    <t>6. Marché / concurrence</t>
  </si>
  <si>
    <t>7. Bilan initial</t>
  </si>
  <si>
    <t>8. Inventaire des immobilisations</t>
  </si>
  <si>
    <t>9. Plan des investissements</t>
  </si>
  <si>
    <t>Annexe 2: Plan de financement</t>
  </si>
  <si>
    <t>Annexe 3: Détail des charges d'exploitation</t>
  </si>
  <si>
    <t>10. Compte d'exploitation de la période</t>
  </si>
  <si>
    <t xml:space="preserve">12. Bilan final </t>
  </si>
  <si>
    <t>1. Informations de base du projet</t>
  </si>
  <si>
    <t>Place visée sur le marché</t>
  </si>
  <si>
    <t>Situation des débiteurs et fournisseurs prévisionnels en fin de période</t>
  </si>
  <si>
    <t>TOTAL en fin de période</t>
  </si>
  <si>
    <t>Estimation financières</t>
  </si>
  <si>
    <t>Situation du compte courant en début de période</t>
  </si>
  <si>
    <t>Factures fournisseurs ouvertes en fin de période</t>
  </si>
  <si>
    <t xml:space="preserve">Taux moyen de marge brute </t>
  </si>
  <si>
    <t xml:space="preserve">Situation </t>
  </si>
  <si>
    <t>Initiale</t>
  </si>
  <si>
    <t>Finale</t>
  </si>
  <si>
    <t>Besoin / excédent de liquidités</t>
  </si>
  <si>
    <t>Vue d'ensemble du marché et évolution de celui-ci</t>
  </si>
  <si>
    <t>Approche choisie pour s'imposer sur le marché</t>
  </si>
  <si>
    <t>Forces</t>
  </si>
  <si>
    <t>Faiblesses</t>
  </si>
  <si>
    <t>Type</t>
  </si>
  <si>
    <t>Directe</t>
  </si>
  <si>
    <t>Indirecte</t>
  </si>
  <si>
    <t>Frais de véhicules</t>
  </si>
  <si>
    <t>Frais de leasing</t>
  </si>
  <si>
    <t>Plaques véhicule</t>
  </si>
  <si>
    <t>Entretien des véhicules (services, pneus, …)</t>
  </si>
  <si>
    <t>Nombre de kilomètres professionnels / an</t>
  </si>
  <si>
    <t>Assurance annuelle des véhicules</t>
  </si>
  <si>
    <t>Perte de gains accident</t>
  </si>
  <si>
    <t>Assurance commerce</t>
  </si>
  <si>
    <t>Entretien, réparation, remplacement, crédit-bail, maintenance</t>
  </si>
  <si>
    <t>Passifs financiers à court terme (compte courant bancaire)</t>
  </si>
  <si>
    <t>Mensuel</t>
  </si>
  <si>
    <t>Caractéristiques de la concurrence directe et indirecte</t>
  </si>
  <si>
    <t>Caractéristiques de la cible</t>
  </si>
  <si>
    <t xml:space="preserve">Caisse ALFA </t>
  </si>
  <si>
    <t xml:space="preserve">Date d'élaboration: </t>
  </si>
  <si>
    <t>Machines de bureau, systèmes informatiques, systèmes de communication, mobilier de bureau</t>
  </si>
  <si>
    <t>Associé 1</t>
  </si>
  <si>
    <t>Associé 2</t>
  </si>
  <si>
    <t>Associé 3</t>
  </si>
  <si>
    <t>Pour une SNC - Composition du capital</t>
  </si>
  <si>
    <t>TOTAL du capital</t>
  </si>
  <si>
    <t>Total AVS, AI, APG des exploitants</t>
  </si>
  <si>
    <t>Total Caisse ALFA des exploitants</t>
  </si>
  <si>
    <t>SNC Associé 2</t>
  </si>
  <si>
    <t>RI/SNC Associé 1</t>
  </si>
  <si>
    <t>SNC Associé 3</t>
  </si>
  <si>
    <t>TOTAL Des charges sociales</t>
  </si>
  <si>
    <t>Résumé</t>
  </si>
  <si>
    <t>Forte</t>
  </si>
  <si>
    <t>Moyenne</t>
  </si>
  <si>
    <t>Taux d'intérêts autre passif long terme</t>
  </si>
  <si>
    <t>Charges sociales part employeur</t>
  </si>
  <si>
    <t>Charges sociales part employé</t>
  </si>
  <si>
    <t>Salaire net/an</t>
  </si>
  <si>
    <t>Taux de charges sociales part employeur</t>
  </si>
  <si>
    <t>Taux de charges sociales part employé</t>
  </si>
  <si>
    <t>CS Exp.</t>
  </si>
  <si>
    <t>S.Exp.</t>
  </si>
  <si>
    <t>CS Sal.</t>
  </si>
  <si>
    <t>S.Sal.</t>
  </si>
  <si>
    <t>Partenaires clés</t>
  </si>
  <si>
    <t>Activités clés</t>
  </si>
  <si>
    <t>Relation clients</t>
  </si>
  <si>
    <t>Ressources clés</t>
  </si>
  <si>
    <t>Canaux</t>
  </si>
  <si>
    <t>Structure de coûts</t>
  </si>
  <si>
    <t>Flux de revenus</t>
  </si>
  <si>
    <t xml:space="preserve">Forces </t>
  </si>
  <si>
    <t>Liquidités (caisse, poste, banque)</t>
  </si>
  <si>
    <t>Machines, appareils, outils, équipements de production</t>
  </si>
  <si>
    <t>Livraison de produits et prestations (chiffre d'affaires)</t>
  </si>
  <si>
    <t>Répartition du capital</t>
  </si>
  <si>
    <t>Micro Business plan</t>
  </si>
  <si>
    <t>0. Business Model Canvas</t>
  </si>
  <si>
    <t>Proposition
de valeur</t>
  </si>
  <si>
    <t>Segments
de clientèle</t>
  </si>
  <si>
    <t>Business Model Canvas</t>
  </si>
  <si>
    <t>Horaires</t>
  </si>
  <si>
    <t>Entretien, réparation et maintenance</t>
  </si>
  <si>
    <t>ACTIFS</t>
  </si>
  <si>
    <t>PASSIFS</t>
  </si>
  <si>
    <t>Coût total du financement</t>
  </si>
  <si>
    <t>Contrôle budgétaire de Daniel Robert - période 1.4 au 30.4</t>
  </si>
  <si>
    <t>Montant budgété</t>
  </si>
  <si>
    <t>Montant effectif</t>
  </si>
  <si>
    <t>Ecart</t>
  </si>
  <si>
    <t>Explication</t>
  </si>
  <si>
    <t>Vente livres</t>
  </si>
  <si>
    <t>Coût des livres vendus</t>
  </si>
  <si>
    <t>Prestations fournies</t>
  </si>
  <si>
    <t>Marge dégagée</t>
  </si>
  <si>
    <t>Salaire de l'exploitant</t>
  </si>
  <si>
    <t>Salaire collaborateurs</t>
  </si>
  <si>
    <t>Charges sociales de l'expl.</t>
  </si>
  <si>
    <t>Charges sociales collab.</t>
  </si>
  <si>
    <t>Loyers</t>
  </si>
  <si>
    <t>Intérêts charges</t>
  </si>
  <si>
    <t>Frais véhicules</t>
  </si>
  <si>
    <t>Assurances</t>
  </si>
  <si>
    <t>Frais d'adm. et de gestion</t>
  </si>
  <si>
    <t>Frais et maintenance info</t>
  </si>
  <si>
    <t>Marketing-publicité</t>
  </si>
  <si>
    <t>Autres charges d'expl.</t>
  </si>
  <si>
    <t>Frais de déplacement</t>
  </si>
  <si>
    <t>Pertes sur débiteurs</t>
  </si>
  <si>
    <t>Résultat net</t>
  </si>
  <si>
    <t>Robert Daniel</t>
  </si>
  <si>
    <t>Rue du Nord 15</t>
  </si>
  <si>
    <t>2000 Neuchâtel</t>
  </si>
  <si>
    <t>032 / 725 44 45</t>
  </si>
  <si>
    <t>robert@rcc.ch</t>
  </si>
  <si>
    <t>RCC - Robert Cabinet Conseil</t>
  </si>
  <si>
    <t>Rue du Succès 44</t>
  </si>
  <si>
    <t>079 / 444 55 66</t>
  </si>
  <si>
    <t>http://www.rcc.ch</t>
  </si>
  <si>
    <t>Exploitation d'un cabinet de conseils financiers et juridiques.
Commercialisation de livres dans le domaine financier.</t>
  </si>
  <si>
    <t>Par rapport à l'offre actuelle, RCC Cabinet Conseil proposera de prestations couvrant l'intégralité des besoins de la clientèle (service global) et ceci à des tarifs en dessous de la moyenne de la concurrence présente sur le marché.</t>
  </si>
  <si>
    <t>- Besoin d'indépendance
- Envie de concrétiser son propre projet
- Encouragement de son entourage
- Excellente formation commerciale et expériences du domaine d'activité</t>
  </si>
  <si>
    <t xml:space="preserve">
- Négociation d'une limite de crédit bancaire 
- Acquisition et fidélisation de la clientèle
- Assurer le bon recrutement de son personnel
- Gestion fine des dépenses </t>
  </si>
  <si>
    <t>Expérience du domaine
Excellente réputation
Réseau de connsissances</t>
  </si>
  <si>
    <t>Pas d'expérience RH
Budget RH limité
Manque d'organisation</t>
  </si>
  <si>
    <t>Daniel Robert</t>
  </si>
  <si>
    <t>Direction et activités de conseil</t>
  </si>
  <si>
    <t>cf. MindMapping</t>
  </si>
  <si>
    <t>En cours</t>
  </si>
  <si>
    <t>Ventes des livres de RCC</t>
  </si>
  <si>
    <t xml:space="preserve">Secrétaire comptable </t>
  </si>
  <si>
    <t>08:00 - 12:00</t>
  </si>
  <si>
    <t>13:30 - 17:30</t>
  </si>
  <si>
    <t>-</t>
  </si>
  <si>
    <t xml:space="preserve">Rédaction </t>
  </si>
  <si>
    <t>Rédaction de tous types de courriers (administratifs et juridiques)</t>
  </si>
  <si>
    <t>Service de commodité pour le client</t>
  </si>
  <si>
    <t xml:space="preserve">Représentation </t>
  </si>
  <si>
    <t>Représentation des personnes privées ou de petites entreprises face à tout type d'organisme.</t>
  </si>
  <si>
    <t>Interlocuteur professionnel</t>
  </si>
  <si>
    <t>Livres</t>
  </si>
  <si>
    <t>Livres pédagogiques destinés à faire découvrir les mécanismes de la finance et le fonctionnement des bourses dans le monde</t>
  </si>
  <si>
    <t>Très complet, facile à comprendre, bien vulgarisé, conseils pratiques utilisables de suite</t>
  </si>
  <si>
    <t>Monsieur Robert souhaite se positionner comme un prestataire de service de confiance, à l'écoute de ses clients, disponible, qui apporte des conseils utiles, efficaces à un prix abordable.
Pour son activité de commercialisation de livres, il désire imposer cette édition comme un produit à la portée de tous, apportant de manière agréable à lire, des informations compréhensibles sur les mécanismes de la finance et de la bourse.</t>
  </si>
  <si>
    <t>CHF 120.- /heure + TVA</t>
  </si>
  <si>
    <t>CHF 76.50 + TVA</t>
  </si>
  <si>
    <t>Rapport qualité / prix très compétitif</t>
  </si>
  <si>
    <t>Clients assurance</t>
  </si>
  <si>
    <t>Les clients des assurances de protection juridique</t>
  </si>
  <si>
    <t>Entreprises</t>
  </si>
  <si>
    <t>Les entreprises de moins de 10 collaborateurs environ (rayon géographique : Canton de Neuchâtel)</t>
  </si>
  <si>
    <t>Particuliers</t>
  </si>
  <si>
    <t>Les particuliers devant résoudre un litige sans qu'un avocat soit nécessaire</t>
  </si>
  <si>
    <t>Associations</t>
  </si>
  <si>
    <t>Les associations culturelles, sportives ou autres avec une problématique juridico-financière ou commerciale</t>
  </si>
  <si>
    <t>Investisseurs</t>
  </si>
  <si>
    <t>Les investisseurs amateurs, intéressés par les aspects de la finance, du fonctionnement de la bourse</t>
  </si>
  <si>
    <t xml:space="preserve">Moyenne </t>
  </si>
  <si>
    <t>a)c)</t>
  </si>
  <si>
    <t>a)b)c)</t>
  </si>
  <si>
    <t xml:space="preserve">Forte </t>
  </si>
  <si>
    <t>b)</t>
  </si>
  <si>
    <t>A = mailing courrier, B = journaux locaux et site internet, C = portes ouvertes</t>
  </si>
  <si>
    <t xml:space="preserve">Le marché du conseil juridique, financier et commercial est en pleine expansion, en raison de la complexité grandissante de notre société et du manque de temps auquel les personnes actives sont souvent confrontées. 
Pour le marché des livres sur la finance, le domaine de la bourse intéresse de plus en plus de monde car ces sujets suscitent l'intérêt d'un nombre croissant de personnes.
</t>
  </si>
  <si>
    <t xml:space="preserve">Pour atteindre ces objectifs et pour s’imposer sur le marché, Daniel Robert pense utiliser ses nombreux contacts auprès des entreprises de la région, de mettre en avant son approche globale de la clientèle et mettre en avant des tarifs très compétitifs. 
Son slogan : « un service jusqu’ici réservé aux entreprises internationales enfin à la portée des micro-entreprises ! ».
</t>
  </si>
  <si>
    <t>Les cabinets spécialisés</t>
  </si>
  <si>
    <t>Services spécifiques</t>
  </si>
  <si>
    <t>Pas d'approche globale</t>
  </si>
  <si>
    <t>Coûts nettement supérieurs</t>
  </si>
  <si>
    <t>Magazines, cd-roms, informations internet</t>
  </si>
  <si>
    <t xml:space="preserve">Diversité de l'offre et disponibilité </t>
  </si>
  <si>
    <t>Qualité de l'information</t>
  </si>
  <si>
    <t>Trop d'informations</t>
  </si>
  <si>
    <t>En ce qui concerne le conseil, Monsieur Robert vise une place de leader régional dans son segment de clientèle de prédilection à savoir: les petites et moyennes entreprises.
Pour la commercialisation des livres, sa stratégique est d'occuper une place de spécialiste dans le domaine de la "vulgarisation" de la compréhension des mécanismes financiers et boursiers.</t>
  </si>
  <si>
    <t>Installation diverses</t>
  </si>
  <si>
    <t>Mobilier</t>
  </si>
  <si>
    <t>Matériel informatique</t>
  </si>
  <si>
    <t>Véhicule d'entreprise</t>
  </si>
  <si>
    <t>Imprimante laser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</si>
</sst>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 #,##0.00_ ;_ * \-#,##0.00_ ;_ * &quot;-&quot;??_ ;_ @_ "/>
    <numFmt numFmtId="164" formatCode="#,##0.0"/>
    <numFmt numFmtId="165" formatCode="0.0"/>
    <numFmt numFmtId="166" formatCode="_ * #,##0.000_ ;_ * \-#,##0.000_ ;_ * &quot;-&quot;???_ ;_ @_ "/>
    <numFmt numFmtId="167" formatCode="dd/mm/yyyy;@"/>
    <numFmt numFmtId="168" formatCode="0.0%"/>
    <numFmt numFmtId="169" formatCode="0.000"/>
    <numFmt numFmtId="170" formatCode="[$-809]dd\ mmmm\ yyyy;@"/>
    <numFmt numFmtId="171" formatCode="d\ mmmm\ yyyy"/>
  </numFmts>
  <fonts count="61">
    <font>
      <sz val="10"/>
      <name val="Arial"/>
    </font>
    <font>
      <sz val="12"/>
      <color theme="1"/>
      <name val="Arial Narrow"/>
      <family val="2"/>
      <scheme val="minor"/>
    </font>
    <font>
      <sz val="10"/>
      <name val="Arial"/>
      <family val="2"/>
    </font>
    <font>
      <sz val="10"/>
      <name val="Arial"/>
      <family val="2"/>
    </font>
    <font>
      <sz val="8"/>
      <name val="Arial"/>
      <family val="2"/>
    </font>
    <font>
      <sz val="10"/>
      <color indexed="8"/>
      <name val="Arial"/>
      <family val="2"/>
    </font>
    <font>
      <sz val="9"/>
      <name val="Geneva"/>
    </font>
    <font>
      <b/>
      <sz val="14"/>
      <color indexed="9"/>
      <name val="Arial"/>
      <family val="2"/>
    </font>
    <font>
      <b/>
      <sz val="10"/>
      <color indexed="9"/>
      <name val="Arial"/>
      <family val="2"/>
    </font>
    <font>
      <sz val="8"/>
      <color indexed="81"/>
      <name val="Tahoma"/>
      <family val="2"/>
    </font>
    <font>
      <b/>
      <sz val="8"/>
      <color indexed="81"/>
      <name val="Tahoma"/>
      <family val="2"/>
    </font>
    <font>
      <u/>
      <sz val="10"/>
      <color theme="11"/>
      <name val="Arial"/>
    </font>
    <font>
      <sz val="9"/>
      <color indexed="81"/>
      <name val="Calibri"/>
      <family val="2"/>
    </font>
    <font>
      <sz val="9"/>
      <color indexed="81"/>
      <name val="Arial"/>
    </font>
    <font>
      <b/>
      <sz val="9"/>
      <color indexed="81"/>
      <name val="Arial"/>
    </font>
    <font>
      <b/>
      <sz val="14"/>
      <color indexed="9"/>
      <name val="Arial Narrow"/>
      <family val="2"/>
      <scheme val="minor"/>
    </font>
    <font>
      <sz val="10"/>
      <name val="Arial Narrow"/>
      <family val="2"/>
      <scheme val="minor"/>
    </font>
    <font>
      <b/>
      <sz val="11"/>
      <name val="Arial Narrow"/>
      <family val="2"/>
      <scheme val="minor"/>
    </font>
    <font>
      <b/>
      <sz val="10"/>
      <name val="Arial Narrow"/>
      <family val="2"/>
      <scheme val="minor"/>
    </font>
    <font>
      <b/>
      <u/>
      <sz val="10"/>
      <name val="Arial Narrow"/>
      <family val="2"/>
      <scheme val="minor"/>
    </font>
    <font>
      <sz val="12"/>
      <name val="Arial Narrow"/>
      <family val="2"/>
      <scheme val="minor"/>
    </font>
    <font>
      <sz val="26"/>
      <name val="Arial Narrow"/>
      <family val="2"/>
      <scheme val="minor"/>
    </font>
    <font>
      <sz val="50"/>
      <name val="Arial Narrow"/>
      <family val="2"/>
      <scheme val="minor"/>
    </font>
    <font>
      <sz val="18"/>
      <color indexed="9"/>
      <name val="Arial Narrow"/>
      <family val="2"/>
      <scheme val="minor"/>
    </font>
    <font>
      <u/>
      <sz val="14"/>
      <color indexed="13"/>
      <name val="Arial Narrow"/>
      <family val="2"/>
      <scheme val="minor"/>
    </font>
    <font>
      <sz val="16"/>
      <name val="Arial Narrow"/>
      <family val="2"/>
      <scheme val="minor"/>
    </font>
    <font>
      <sz val="12"/>
      <color rgb="FF5A5A5A"/>
      <name val="Arial Narrow"/>
      <family val="2"/>
      <scheme val="minor"/>
    </font>
    <font>
      <sz val="24"/>
      <color rgb="FF5A5A5A"/>
      <name val="Arial Narrow"/>
      <family val="2"/>
      <scheme val="minor"/>
    </font>
    <font>
      <sz val="28"/>
      <color rgb="FF5A5A5A"/>
      <name val="Arial Narrow"/>
      <family val="2"/>
      <scheme val="minor"/>
    </font>
    <font>
      <i/>
      <sz val="12"/>
      <color rgb="FF5A5A5A"/>
      <name val="Arial Narrow"/>
      <family val="2"/>
      <scheme val="minor"/>
    </font>
    <font>
      <i/>
      <sz val="24"/>
      <color rgb="FF5A5A5A"/>
      <name val="Arial Narrow"/>
      <family val="2"/>
      <scheme val="minor"/>
    </font>
    <font>
      <b/>
      <sz val="24"/>
      <color rgb="FF5A5A5A"/>
      <name val="Arial Narrow"/>
      <family val="2"/>
      <scheme val="minor"/>
    </font>
    <font>
      <b/>
      <sz val="18"/>
      <color rgb="FF5A5A5A"/>
      <name val="Arial Narrow"/>
      <family val="2"/>
      <scheme val="minor"/>
    </font>
    <font>
      <sz val="10"/>
      <color indexed="9"/>
      <name val="Arial Narrow"/>
      <family val="2"/>
      <scheme val="minor"/>
    </font>
    <font>
      <sz val="11"/>
      <name val="Arial Narrow"/>
      <family val="2"/>
      <scheme val="minor"/>
    </font>
    <font>
      <u/>
      <sz val="11"/>
      <name val="Arial Narrow"/>
      <family val="2"/>
      <scheme val="minor"/>
    </font>
    <font>
      <sz val="10"/>
      <color indexed="42"/>
      <name val="Arial Narrow"/>
      <family val="2"/>
      <scheme val="minor"/>
    </font>
    <font>
      <sz val="10"/>
      <color indexed="8"/>
      <name val="Arial Narrow"/>
      <family val="2"/>
      <scheme val="minor"/>
    </font>
    <font>
      <i/>
      <sz val="10"/>
      <name val="Arial Narrow"/>
      <family val="2"/>
      <scheme val="minor"/>
    </font>
    <font>
      <sz val="10"/>
      <color indexed="10"/>
      <name val="Arial Narrow"/>
      <family val="2"/>
      <scheme val="minor"/>
    </font>
    <font>
      <sz val="10"/>
      <color theme="0"/>
      <name val="Arial Narrow"/>
      <family val="2"/>
      <scheme val="minor"/>
    </font>
    <font>
      <b/>
      <sz val="11"/>
      <color indexed="9"/>
      <name val="Arial Narrow"/>
      <family val="2"/>
      <scheme val="minor"/>
    </font>
    <font>
      <b/>
      <sz val="10"/>
      <color indexed="59"/>
      <name val="Arial Narrow"/>
      <family val="2"/>
      <scheme val="minor"/>
    </font>
    <font>
      <sz val="10"/>
      <color rgb="FFFF0000"/>
      <name val="Arial Narrow"/>
      <family val="2"/>
      <scheme val="minor"/>
    </font>
    <font>
      <u/>
      <sz val="10"/>
      <color theme="1"/>
      <name val="Arial Narrow"/>
      <family val="2"/>
    </font>
    <font>
      <b/>
      <sz val="14"/>
      <name val="Arial Narrow"/>
      <family val="2"/>
      <scheme val="minor"/>
    </font>
    <font>
      <sz val="9"/>
      <name val="Arial Narrow"/>
      <family val="2"/>
      <scheme val="minor"/>
    </font>
    <font>
      <sz val="10"/>
      <color indexed="47"/>
      <name val="Arial Narrow"/>
      <family val="2"/>
      <scheme val="minor"/>
    </font>
    <font>
      <b/>
      <sz val="10"/>
      <color indexed="9"/>
      <name val="Arial Narrow"/>
      <family val="2"/>
      <scheme val="minor"/>
    </font>
    <font>
      <b/>
      <sz val="10"/>
      <color theme="0"/>
      <name val="Arial Narrow"/>
      <family val="2"/>
      <scheme val="minor"/>
    </font>
    <font>
      <u/>
      <sz val="10"/>
      <name val="Arial Narrow"/>
      <family val="2"/>
      <scheme val="minor"/>
    </font>
    <font>
      <b/>
      <sz val="10"/>
      <name val="Arial"/>
      <family val="2"/>
    </font>
    <font>
      <i/>
      <sz val="14"/>
      <name val="Arial Narrow"/>
      <scheme val="minor"/>
    </font>
    <font>
      <i/>
      <sz val="14"/>
      <name val="Arial"/>
      <family val="2"/>
    </font>
    <font>
      <b/>
      <i/>
      <sz val="9"/>
      <name val="Arial"/>
      <family val="2"/>
    </font>
    <font>
      <sz val="9"/>
      <name val="Arial"/>
      <family val="2"/>
    </font>
    <font>
      <sz val="11"/>
      <name val="Arial"/>
    </font>
    <font>
      <sz val="11"/>
      <name val="Arial"/>
      <family val="2"/>
    </font>
    <font>
      <u/>
      <sz val="11"/>
      <name val="Arial"/>
      <family val="2"/>
    </font>
    <font>
      <sz val="8"/>
      <color indexed="81"/>
      <name val="Tahoma"/>
    </font>
    <font>
      <b/>
      <sz val="10"/>
      <color indexed="8"/>
      <name val="Arial"/>
      <family val="2"/>
    </font>
  </fonts>
  <fills count="12">
    <fill>
      <patternFill patternType="none"/>
    </fill>
    <fill>
      <patternFill patternType="gray125"/>
    </fill>
    <fill>
      <patternFill patternType="solid">
        <fgColor indexed="4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2" tint="-9.9978637043366805E-2"/>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indexed="52"/>
        <bgColor indexed="64"/>
      </patternFill>
    </fill>
  </fills>
  <borders count="61">
    <border>
      <left/>
      <right/>
      <top/>
      <bottom/>
      <diagonal/>
    </border>
    <border>
      <left style="thin">
        <color indexed="53"/>
      </left>
      <right style="thin">
        <color indexed="53"/>
      </right>
      <top style="thin">
        <color indexed="53"/>
      </top>
      <bottom style="thin">
        <color indexed="53"/>
      </bottom>
      <diagonal/>
    </border>
    <border>
      <left/>
      <right style="thin">
        <color indexed="53"/>
      </right>
      <top style="thin">
        <color indexed="53"/>
      </top>
      <bottom style="thin">
        <color indexed="53"/>
      </bottom>
      <diagonal/>
    </border>
    <border>
      <left style="thin">
        <color indexed="52"/>
      </left>
      <right style="thin">
        <color indexed="52"/>
      </right>
      <top style="thin">
        <color indexed="52"/>
      </top>
      <bottom style="thin">
        <color indexed="52"/>
      </bottom>
      <diagonal/>
    </border>
    <border>
      <left style="thin">
        <color indexed="53"/>
      </left>
      <right/>
      <top style="thin">
        <color indexed="53"/>
      </top>
      <bottom style="thin">
        <color indexed="53"/>
      </bottom>
      <diagonal/>
    </border>
    <border>
      <left style="thin">
        <color indexed="53"/>
      </left>
      <right style="thin">
        <color indexed="53"/>
      </right>
      <top/>
      <bottom style="thin">
        <color indexed="53"/>
      </bottom>
      <diagonal/>
    </border>
    <border>
      <left/>
      <right/>
      <top style="thin">
        <color indexed="53"/>
      </top>
      <bottom style="thin">
        <color indexed="53"/>
      </bottom>
      <diagonal/>
    </border>
    <border>
      <left style="thin">
        <color indexed="53"/>
      </left>
      <right/>
      <top/>
      <bottom/>
      <diagonal/>
    </border>
    <border>
      <left style="thin">
        <color indexed="53"/>
      </left>
      <right/>
      <top style="thin">
        <color indexed="53"/>
      </top>
      <bottom/>
      <diagonal/>
    </border>
    <border>
      <left/>
      <right/>
      <top style="thin">
        <color indexed="53"/>
      </top>
      <bottom/>
      <diagonal/>
    </border>
    <border>
      <left/>
      <right style="thin">
        <color indexed="53"/>
      </right>
      <top style="thin">
        <color indexed="53"/>
      </top>
      <bottom/>
      <diagonal/>
    </border>
    <border>
      <left/>
      <right style="thin">
        <color indexed="53"/>
      </right>
      <top/>
      <bottom/>
      <diagonal/>
    </border>
    <border>
      <left/>
      <right/>
      <top/>
      <bottom style="thin">
        <color indexed="53"/>
      </bottom>
      <diagonal/>
    </border>
    <border>
      <left style="thin">
        <color indexed="52"/>
      </left>
      <right/>
      <top style="thin">
        <color indexed="52"/>
      </top>
      <bottom/>
      <diagonal/>
    </border>
    <border>
      <left/>
      <right/>
      <top style="thin">
        <color indexed="52"/>
      </top>
      <bottom/>
      <diagonal/>
    </border>
    <border>
      <left/>
      <right style="thin">
        <color indexed="52"/>
      </right>
      <top style="thin">
        <color indexed="52"/>
      </top>
      <bottom/>
      <diagonal/>
    </border>
    <border>
      <left style="thin">
        <color indexed="52"/>
      </left>
      <right/>
      <top/>
      <bottom style="thin">
        <color indexed="52"/>
      </bottom>
      <diagonal/>
    </border>
    <border>
      <left/>
      <right/>
      <top/>
      <bottom style="thin">
        <color indexed="52"/>
      </bottom>
      <diagonal/>
    </border>
    <border>
      <left/>
      <right style="thin">
        <color indexed="52"/>
      </right>
      <top/>
      <bottom style="thin">
        <color indexed="52"/>
      </bottom>
      <diagonal/>
    </border>
    <border>
      <left style="thin">
        <color indexed="52"/>
      </left>
      <right style="thin">
        <color indexed="52"/>
      </right>
      <top style="thin">
        <color indexed="52"/>
      </top>
      <bottom/>
      <diagonal/>
    </border>
    <border>
      <left style="thin">
        <color indexed="52"/>
      </left>
      <right style="thin">
        <color indexed="52"/>
      </right>
      <top/>
      <bottom style="thin">
        <color indexed="52"/>
      </bottom>
      <diagonal/>
    </border>
    <border>
      <left style="thin">
        <color indexed="52"/>
      </left>
      <right/>
      <top style="thin">
        <color indexed="52"/>
      </top>
      <bottom style="thin">
        <color indexed="52"/>
      </bottom>
      <diagonal/>
    </border>
    <border>
      <left/>
      <right/>
      <top style="thin">
        <color indexed="52"/>
      </top>
      <bottom style="thin">
        <color indexed="52"/>
      </bottom>
      <diagonal/>
    </border>
    <border>
      <left/>
      <right style="thin">
        <color indexed="52"/>
      </right>
      <top style="thin">
        <color indexed="52"/>
      </top>
      <bottom style="thin">
        <color indexed="52"/>
      </bottom>
      <diagonal/>
    </border>
    <border>
      <left style="thin">
        <color indexed="53"/>
      </left>
      <right/>
      <top/>
      <bottom style="thin">
        <color indexed="53"/>
      </bottom>
      <diagonal/>
    </border>
    <border>
      <left/>
      <right style="thin">
        <color indexed="53"/>
      </right>
      <top/>
      <bottom style="thin">
        <color indexed="53"/>
      </bottom>
      <diagonal/>
    </border>
    <border>
      <left style="thin">
        <color indexed="52"/>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thin">
        <color rgb="FFC8C1BC"/>
      </bottom>
      <diagonal/>
    </border>
    <border>
      <left style="thin">
        <color rgb="FFC8C1BC"/>
      </left>
      <right style="thin">
        <color rgb="FFC8C1BC"/>
      </right>
      <top style="thin">
        <color rgb="FFC8C1BC"/>
      </top>
      <bottom style="thin">
        <color rgb="FFC8C1BC"/>
      </bottom>
      <diagonal/>
    </border>
    <border>
      <left style="thin">
        <color rgb="FFAAA19A"/>
      </left>
      <right style="thin">
        <color rgb="FFAAA19A"/>
      </right>
      <top style="thin">
        <color rgb="FFAAA19A"/>
      </top>
      <bottom style="thin">
        <color rgb="FFAAA19A"/>
      </bottom>
      <diagonal/>
    </border>
    <border>
      <left style="thin">
        <color rgb="FFC8C1BC"/>
      </left>
      <right style="thin">
        <color rgb="FFC8C1BC"/>
      </right>
      <top style="thin">
        <color rgb="FFC8C1BC"/>
      </top>
      <bottom/>
      <diagonal/>
    </border>
    <border>
      <left style="thin">
        <color rgb="FFC8C1BC"/>
      </left>
      <right style="thin">
        <color rgb="FFC8C1BC"/>
      </right>
      <top/>
      <bottom/>
      <diagonal/>
    </border>
    <border>
      <left style="thin">
        <color rgb="FFC8C1BC"/>
      </left>
      <right style="thin">
        <color rgb="FFC8C1BC"/>
      </right>
      <top/>
      <bottom style="thin">
        <color rgb="FFC8C1BC"/>
      </bottom>
      <diagonal/>
    </border>
    <border>
      <left style="thin">
        <color rgb="FFAAA19A"/>
      </left>
      <right style="thin">
        <color auto="1"/>
      </right>
      <top style="thin">
        <color rgb="FFAAA19A"/>
      </top>
      <bottom style="thin">
        <color auto="1"/>
      </bottom>
      <diagonal/>
    </border>
    <border>
      <left style="thin">
        <color auto="1"/>
      </left>
      <right style="thin">
        <color auto="1"/>
      </right>
      <top style="thin">
        <color rgb="FFAAA19A"/>
      </top>
      <bottom style="thin">
        <color auto="1"/>
      </bottom>
      <diagonal/>
    </border>
    <border>
      <left style="thin">
        <color auto="1"/>
      </left>
      <right style="thin">
        <color rgb="FFAAA19A"/>
      </right>
      <top style="thin">
        <color rgb="FFAAA19A"/>
      </top>
      <bottom style="thin">
        <color auto="1"/>
      </bottom>
      <diagonal/>
    </border>
    <border>
      <left style="thin">
        <color rgb="FFAAA19A"/>
      </left>
      <right style="thin">
        <color auto="1"/>
      </right>
      <top style="thin">
        <color auto="1"/>
      </top>
      <bottom style="thin">
        <color auto="1"/>
      </bottom>
      <diagonal/>
    </border>
    <border>
      <left style="thin">
        <color auto="1"/>
      </left>
      <right style="thin">
        <color rgb="FFAAA19A"/>
      </right>
      <top style="thin">
        <color auto="1"/>
      </top>
      <bottom style="thin">
        <color auto="1"/>
      </bottom>
      <diagonal/>
    </border>
    <border>
      <left style="thin">
        <color rgb="FFAAA19A"/>
      </left>
      <right style="thin">
        <color auto="1"/>
      </right>
      <top style="thin">
        <color auto="1"/>
      </top>
      <bottom style="thin">
        <color rgb="FFAAA19A"/>
      </bottom>
      <diagonal/>
    </border>
    <border>
      <left style="thin">
        <color auto="1"/>
      </left>
      <right style="thin">
        <color auto="1"/>
      </right>
      <top style="thin">
        <color auto="1"/>
      </top>
      <bottom style="thin">
        <color rgb="FFAAA19A"/>
      </bottom>
      <diagonal/>
    </border>
    <border>
      <left style="thin">
        <color auto="1"/>
      </left>
      <right style="thin">
        <color rgb="FFAAA19A"/>
      </right>
      <top style="thin">
        <color auto="1"/>
      </top>
      <bottom style="thin">
        <color rgb="FFAAA19A"/>
      </bottom>
      <diagonal/>
    </border>
    <border>
      <left style="thin">
        <color rgb="FFAAA19A"/>
      </left>
      <right/>
      <top style="thin">
        <color rgb="FFAAA19A"/>
      </top>
      <bottom/>
      <diagonal/>
    </border>
    <border>
      <left/>
      <right/>
      <top style="thin">
        <color rgb="FFAAA19A"/>
      </top>
      <bottom/>
      <diagonal/>
    </border>
    <border>
      <left/>
      <right style="thin">
        <color rgb="FFAAA19A"/>
      </right>
      <top style="thin">
        <color rgb="FFAAA19A"/>
      </top>
      <bottom/>
      <diagonal/>
    </border>
    <border>
      <left style="thin">
        <color rgb="FFAAA19A"/>
      </left>
      <right/>
      <top/>
      <bottom/>
      <diagonal/>
    </border>
    <border>
      <left/>
      <right style="thin">
        <color rgb="FFAAA19A"/>
      </right>
      <top/>
      <bottom/>
      <diagonal/>
    </border>
    <border>
      <left style="thin">
        <color rgb="FFAAA19A"/>
      </left>
      <right/>
      <top/>
      <bottom style="thin">
        <color rgb="FFAAA19A"/>
      </bottom>
      <diagonal/>
    </border>
    <border>
      <left/>
      <right/>
      <top/>
      <bottom style="thin">
        <color rgb="FFAAA19A"/>
      </bottom>
      <diagonal/>
    </border>
    <border>
      <left/>
      <right style="thin">
        <color rgb="FFAAA19A"/>
      </right>
      <top/>
      <bottom style="thin">
        <color rgb="FFAAA19A"/>
      </bottom>
      <diagonal/>
    </border>
    <border>
      <left style="thin">
        <color indexed="53"/>
      </left>
      <right style="thin">
        <color indexed="53"/>
      </right>
      <top style="thin">
        <color indexed="53"/>
      </top>
      <bottom/>
      <diagonal/>
    </border>
    <border>
      <left/>
      <right/>
      <top style="thin">
        <color auto="1"/>
      </top>
      <bottom style="double">
        <color auto="1"/>
      </bottom>
      <diagonal/>
    </border>
    <border>
      <left/>
      <right/>
      <top style="thin">
        <color indexed="9"/>
      </top>
      <bottom/>
      <diagonal/>
    </border>
  </borders>
  <cellStyleXfs count="21">
    <xf numFmtId="0" fontId="0" fillId="0" borderId="0"/>
    <xf numFmtId="0" fontId="44"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9" fontId="2" fillId="0" borderId="0" applyFont="0" applyFill="0" applyBorder="0" applyAlignment="0" applyProtection="0"/>
    <xf numFmtId="0" fontId="3"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 fillId="0" borderId="0"/>
    <xf numFmtId="0" fontId="11" fillId="0" borderId="0" applyNumberFormat="0" applyFill="0" applyBorder="0" applyAlignment="0" applyProtection="0"/>
    <xf numFmtId="0" fontId="17" fillId="0" borderId="36">
      <alignment horizontal="left" vertical="center" wrapText="1"/>
    </xf>
    <xf numFmtId="0" fontId="2" fillId="0" borderId="0"/>
  </cellStyleXfs>
  <cellXfs count="454">
    <xf numFmtId="0" fontId="0" fillId="0" borderId="0" xfId="0"/>
    <xf numFmtId="0" fontId="5" fillId="0" borderId="0" xfId="5" applyFont="1" applyAlignment="1">
      <alignment vertical="center" wrapText="1"/>
    </xf>
    <xf numFmtId="0" fontId="5" fillId="0" borderId="0" xfId="5" applyFont="1" applyBorder="1" applyAlignment="1">
      <alignment horizontal="left" vertical="center" wrapText="1"/>
    </xf>
    <xf numFmtId="0" fontId="7" fillId="0" borderId="0" xfId="5" applyFont="1" applyFill="1" applyBorder="1" applyAlignment="1">
      <alignment vertical="center" wrapText="1"/>
    </xf>
    <xf numFmtId="0" fontId="16" fillId="0" borderId="0" xfId="0" applyFont="1" applyFill="1" applyProtection="1"/>
    <xf numFmtId="3" fontId="18" fillId="3" borderId="2" xfId="2" applyNumberFormat="1" applyFont="1" applyFill="1" applyBorder="1" applyAlignment="1" applyProtection="1">
      <alignment vertical="center" wrapText="1"/>
    </xf>
    <xf numFmtId="0" fontId="19" fillId="0" borderId="0" xfId="0" applyFont="1" applyFill="1" applyProtection="1">
      <protection hidden="1"/>
    </xf>
    <xf numFmtId="0" fontId="16" fillId="0" borderId="0" xfId="0" applyFont="1" applyFill="1" applyProtection="1">
      <protection hidden="1"/>
    </xf>
    <xf numFmtId="0" fontId="16" fillId="0" borderId="0" xfId="0" applyFont="1" applyFill="1" applyBorder="1" applyProtection="1">
      <protection hidden="1"/>
    </xf>
    <xf numFmtId="43" fontId="16" fillId="0" borderId="0" xfId="0" applyNumberFormat="1" applyFont="1" applyFill="1" applyBorder="1" applyProtection="1">
      <protection hidden="1"/>
    </xf>
    <xf numFmtId="0" fontId="16" fillId="0" borderId="0" xfId="0" quotePrefix="1" applyFont="1" applyFill="1" applyBorder="1" applyProtection="1">
      <protection hidden="1"/>
    </xf>
    <xf numFmtId="166" fontId="16" fillId="0" borderId="0" xfId="0" applyNumberFormat="1" applyFont="1" applyFill="1" applyBorder="1" applyProtection="1">
      <protection hidden="1"/>
    </xf>
    <xf numFmtId="0" fontId="16" fillId="0" borderId="0" xfId="0" applyFont="1" applyFill="1" applyBorder="1" applyProtection="1"/>
    <xf numFmtId="43" fontId="16" fillId="0" borderId="0" xfId="0" applyNumberFormat="1" applyFont="1" applyFill="1" applyProtection="1"/>
    <xf numFmtId="0" fontId="19" fillId="0" borderId="0" xfId="0" applyFont="1" applyFill="1" applyProtection="1"/>
    <xf numFmtId="0" fontId="18" fillId="0" borderId="0" xfId="0" applyFont="1" applyFill="1" applyProtection="1">
      <protection hidden="1"/>
    </xf>
    <xf numFmtId="43" fontId="18" fillId="0" borderId="0" xfId="0" applyNumberFormat="1" applyFont="1" applyFill="1" applyProtection="1"/>
    <xf numFmtId="0" fontId="17" fillId="7" borderId="1" xfId="2" applyFont="1" applyFill="1" applyBorder="1" applyAlignment="1" applyProtection="1">
      <alignment horizontal="center" vertical="center" wrapText="1"/>
    </xf>
    <xf numFmtId="0" fontId="16" fillId="0" borderId="0" xfId="0" applyFont="1"/>
    <xf numFmtId="0" fontId="16" fillId="0" borderId="0" xfId="0" applyFont="1" applyBorder="1"/>
    <xf numFmtId="0" fontId="16" fillId="0" borderId="0" xfId="0" applyFont="1" applyAlignment="1">
      <alignment horizontal="center"/>
    </xf>
    <xf numFmtId="0" fontId="16" fillId="0" borderId="0" xfId="0" applyFont="1" applyProtection="1"/>
    <xf numFmtId="0" fontId="20" fillId="0" borderId="0" xfId="0" applyFont="1" applyAlignment="1" applyProtection="1"/>
    <xf numFmtId="0" fontId="16" fillId="4" borderId="0" xfId="0" applyFont="1" applyFill="1"/>
    <xf numFmtId="0" fontId="25" fillId="4" borderId="0" xfId="0" applyFont="1" applyFill="1"/>
    <xf numFmtId="0" fontId="26" fillId="4" borderId="0" xfId="17" applyFont="1" applyFill="1"/>
    <xf numFmtId="0" fontId="26" fillId="4" borderId="0" xfId="17" applyFont="1" applyFill="1" applyAlignment="1">
      <alignment vertical="center"/>
    </xf>
    <xf numFmtId="0" fontId="29" fillId="4" borderId="0" xfId="17" applyFont="1" applyFill="1" applyAlignment="1">
      <alignment vertical="center"/>
    </xf>
    <xf numFmtId="0" fontId="2" fillId="4" borderId="0" xfId="0" applyFont="1" applyFill="1"/>
    <xf numFmtId="0" fontId="16" fillId="0" borderId="0" xfId="0" applyFont="1" applyFill="1" applyBorder="1"/>
    <xf numFmtId="0" fontId="33" fillId="0" borderId="0" xfId="0" applyFont="1" applyFill="1" applyBorder="1" applyProtection="1">
      <protection hidden="1"/>
    </xf>
    <xf numFmtId="0" fontId="34" fillId="0" borderId="0" xfId="0" applyFont="1" applyFill="1" applyBorder="1"/>
    <xf numFmtId="0" fontId="34" fillId="0" borderId="0" xfId="0" applyFont="1" applyFill="1" applyBorder="1" applyAlignment="1">
      <alignment horizontal="center"/>
    </xf>
    <xf numFmtId="0" fontId="34" fillId="0" borderId="0" xfId="0" applyFont="1" applyFill="1" applyBorder="1" applyAlignment="1" applyProtection="1">
      <alignment horizontal="center"/>
      <protection locked="0"/>
    </xf>
    <xf numFmtId="0" fontId="35" fillId="0" borderId="0" xfId="1" applyFont="1" applyFill="1" applyBorder="1" applyAlignment="1" applyProtection="1">
      <alignment horizontal="center"/>
    </xf>
    <xf numFmtId="0" fontId="34" fillId="0" borderId="0" xfId="0" applyFont="1" applyFill="1" applyBorder="1" applyProtection="1">
      <protection hidden="1"/>
    </xf>
    <xf numFmtId="0" fontId="34" fillId="0" borderId="0" xfId="0" applyFont="1" applyFill="1" applyBorder="1" applyAlignment="1" applyProtection="1">
      <alignment horizontal="center"/>
      <protection hidden="1"/>
    </xf>
    <xf numFmtId="0" fontId="34" fillId="0" borderId="0" xfId="0" applyFont="1" applyFill="1" applyBorder="1" applyAlignment="1" applyProtection="1">
      <alignment horizontal="center"/>
    </xf>
    <xf numFmtId="167" fontId="34" fillId="0" borderId="0" xfId="0" applyNumberFormat="1" applyFont="1" applyFill="1" applyBorder="1" applyAlignment="1" applyProtection="1">
      <alignment horizontal="center"/>
      <protection locked="0"/>
    </xf>
    <xf numFmtId="0" fontId="36" fillId="0" borderId="0" xfId="0" applyFont="1" applyFill="1" applyBorder="1" applyProtection="1">
      <protection hidden="1"/>
    </xf>
    <xf numFmtId="10" fontId="34" fillId="0" borderId="0" xfId="0" applyNumberFormat="1" applyFont="1" applyFill="1" applyBorder="1" applyAlignment="1" applyProtection="1">
      <alignment horizontal="center"/>
      <protection locked="0"/>
    </xf>
    <xf numFmtId="10" fontId="16" fillId="0" borderId="0" xfId="0" applyNumberFormat="1" applyFont="1" applyFill="1" applyBorder="1" applyAlignment="1" applyProtection="1">
      <alignment horizontal="center"/>
      <protection locked="0"/>
    </xf>
    <xf numFmtId="4" fontId="16" fillId="0" borderId="0" xfId="0" applyNumberFormat="1" applyFont="1"/>
    <xf numFmtId="0" fontId="18" fillId="0" borderId="0" xfId="0" applyFont="1" applyFill="1" applyBorder="1" applyProtection="1">
      <protection hidden="1"/>
    </xf>
    <xf numFmtId="4" fontId="18" fillId="0" borderId="0" xfId="0" applyNumberFormat="1" applyFont="1"/>
    <xf numFmtId="1" fontId="34" fillId="0" borderId="0" xfId="0" applyNumberFormat="1" applyFont="1" applyFill="1" applyBorder="1" applyAlignment="1" applyProtection="1">
      <alignment horizontal="center"/>
      <protection locked="0"/>
    </xf>
    <xf numFmtId="0" fontId="38" fillId="0" borderId="0" xfId="0" applyFont="1" applyFill="1" applyBorder="1" applyAlignment="1" applyProtection="1">
      <alignment horizontal="center"/>
      <protection hidden="1"/>
    </xf>
    <xf numFmtId="0" fontId="34" fillId="0" borderId="0" xfId="2" applyFont="1" applyFill="1" applyBorder="1" applyAlignment="1">
      <alignment horizontal="left" vertical="center" wrapText="1"/>
    </xf>
    <xf numFmtId="4" fontId="16" fillId="0" borderId="0" xfId="0" applyNumberFormat="1" applyFont="1" applyFill="1" applyBorder="1" applyProtection="1">
      <protection locked="0" hidden="1"/>
    </xf>
    <xf numFmtId="0" fontId="37" fillId="0" borderId="0" xfId="2" applyFont="1" applyFill="1" applyBorder="1" applyAlignment="1">
      <alignment horizontal="center" vertical="center" wrapText="1"/>
    </xf>
    <xf numFmtId="165" fontId="37" fillId="0" borderId="0" xfId="2" applyNumberFormat="1" applyFont="1" applyFill="1" applyBorder="1" applyAlignment="1">
      <alignment horizontal="center" vertical="center" wrapText="1"/>
    </xf>
    <xf numFmtId="0" fontId="39" fillId="0" borderId="0" xfId="0" applyFont="1"/>
    <xf numFmtId="0" fontId="40" fillId="0" borderId="0" xfId="0" applyFont="1"/>
    <xf numFmtId="0" fontId="40" fillId="0" borderId="0" xfId="0" applyFont="1" applyFill="1" applyBorder="1" applyAlignment="1">
      <alignment horizontal="right" wrapText="1"/>
    </xf>
    <xf numFmtId="0" fontId="16" fillId="0" borderId="1" xfId="0" applyFont="1" applyBorder="1" applyAlignment="1" applyProtection="1">
      <alignment horizontal="center"/>
      <protection locked="0"/>
    </xf>
    <xf numFmtId="0" fontId="16" fillId="0" borderId="1" xfId="0" applyFont="1" applyFill="1" applyBorder="1" applyAlignment="1" applyProtection="1">
      <alignment horizontal="center" wrapText="1"/>
      <protection locked="0"/>
    </xf>
    <xf numFmtId="3" fontId="16" fillId="0" borderId="1" xfId="0" applyNumberFormat="1" applyFont="1" applyBorder="1" applyAlignment="1" applyProtection="1">
      <alignment horizontal="center"/>
      <protection locked="0"/>
    </xf>
    <xf numFmtId="3" fontId="16" fillId="0" borderId="1" xfId="0" applyNumberFormat="1" applyFont="1" applyBorder="1" applyAlignment="1" applyProtection="1">
      <alignment horizontal="center"/>
    </xf>
    <xf numFmtId="3" fontId="18" fillId="3" borderId="2" xfId="2" applyNumberFormat="1" applyFont="1" applyFill="1" applyBorder="1" applyAlignment="1" applyProtection="1">
      <alignment horizontal="center" vertical="center" wrapText="1"/>
    </xf>
    <xf numFmtId="3" fontId="18" fillId="3" borderId="1" xfId="2" applyNumberFormat="1" applyFont="1" applyFill="1" applyBorder="1" applyAlignment="1" applyProtection="1">
      <alignment horizontal="center" vertical="center" wrapText="1"/>
    </xf>
    <xf numFmtId="0" fontId="16" fillId="0" borderId="0" xfId="0" applyFont="1" applyFill="1" applyBorder="1" applyAlignment="1">
      <alignment horizontal="center" wrapText="1"/>
    </xf>
    <xf numFmtId="3" fontId="16" fillId="0" borderId="0" xfId="0" applyNumberFormat="1" applyFont="1" applyAlignment="1">
      <alignment horizontal="center"/>
    </xf>
    <xf numFmtId="0" fontId="17" fillId="0" borderId="0" xfId="2" applyFont="1" applyFill="1" applyBorder="1" applyAlignment="1">
      <alignment vertical="center" wrapText="1"/>
    </xf>
    <xf numFmtId="0" fontId="33" fillId="0" borderId="0" xfId="0" applyFont="1"/>
    <xf numFmtId="3" fontId="16" fillId="7" borderId="1" xfId="2" applyNumberFormat="1" applyFont="1" applyFill="1" applyBorder="1" applyAlignment="1">
      <alignment horizontal="center" vertical="center" wrapText="1"/>
    </xf>
    <xf numFmtId="3" fontId="16" fillId="7" borderId="4" xfId="2" applyNumberFormat="1" applyFont="1" applyFill="1" applyBorder="1" applyAlignment="1">
      <alignment horizontal="center" vertical="center" wrapText="1"/>
    </xf>
    <xf numFmtId="3" fontId="16" fillId="7" borderId="1" xfId="2" applyNumberFormat="1" applyFont="1" applyFill="1" applyBorder="1" applyAlignment="1">
      <alignment horizontal="left" vertical="center" wrapText="1"/>
    </xf>
    <xf numFmtId="0" fontId="16" fillId="7" borderId="1" xfId="2" applyFont="1" applyFill="1" applyBorder="1" applyAlignment="1">
      <alignment horizontal="center" vertical="center" wrapText="1"/>
    </xf>
    <xf numFmtId="0" fontId="16" fillId="7" borderId="1" xfId="2" applyFont="1" applyFill="1" applyBorder="1" applyAlignment="1">
      <alignment horizontal="center" vertical="center" wrapText="1"/>
    </xf>
    <xf numFmtId="3" fontId="18" fillId="0" borderId="0" xfId="2" applyNumberFormat="1" applyFont="1" applyFill="1" applyBorder="1" applyAlignment="1" applyProtection="1">
      <alignment vertical="center" wrapText="1"/>
    </xf>
    <xf numFmtId="0" fontId="16" fillId="0" borderId="0" xfId="0" quotePrefix="1" applyFont="1" applyFill="1" applyBorder="1" applyAlignment="1" applyProtection="1">
      <alignment wrapText="1"/>
    </xf>
    <xf numFmtId="0" fontId="16" fillId="0" borderId="0" xfId="0" applyFont="1" applyFill="1" applyBorder="1" applyAlignment="1" applyProtection="1">
      <alignment wrapText="1"/>
    </xf>
    <xf numFmtId="0" fontId="15" fillId="0" borderId="0" xfId="2" applyFont="1" applyFill="1" applyBorder="1" applyAlignment="1">
      <alignment vertical="center" wrapText="1"/>
    </xf>
    <xf numFmtId="0" fontId="41" fillId="0" borderId="0" xfId="2" applyFont="1" applyFill="1" applyBorder="1" applyAlignment="1">
      <alignment vertical="center" wrapText="1"/>
    </xf>
    <xf numFmtId="165" fontId="16" fillId="0" borderId="1" xfId="0" applyNumberFormat="1" applyFont="1" applyBorder="1" applyProtection="1">
      <protection locked="0"/>
    </xf>
    <xf numFmtId="0" fontId="16" fillId="0" borderId="1" xfId="0" applyFont="1" applyBorder="1" applyProtection="1">
      <protection locked="0"/>
    </xf>
    <xf numFmtId="0" fontId="16" fillId="0" borderId="1"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0" xfId="0" applyFont="1" applyAlignment="1" applyProtection="1">
      <alignment horizontal="center" vertical="center" wrapText="1"/>
      <protection locked="0"/>
    </xf>
    <xf numFmtId="0" fontId="16" fillId="7" borderId="1" xfId="2" applyFont="1" applyFill="1" applyBorder="1" applyAlignment="1">
      <alignment horizontal="left" vertical="center" wrapText="1"/>
    </xf>
    <xf numFmtId="0" fontId="18" fillId="0" borderId="1" xfId="0" applyFont="1" applyBorder="1" applyAlignment="1" applyProtection="1">
      <alignment horizontal="center" vertical="center" wrapText="1"/>
    </xf>
    <xf numFmtId="0" fontId="18" fillId="0" borderId="1" xfId="0" applyFont="1" applyBorder="1" applyAlignment="1" applyProtection="1">
      <alignment horizontal="center" vertical="center"/>
    </xf>
    <xf numFmtId="0" fontId="43" fillId="0" borderId="0" xfId="0" applyFont="1"/>
    <xf numFmtId="0" fontId="16" fillId="0" borderId="1" xfId="0" applyFont="1" applyBorder="1" applyAlignment="1" applyProtection="1">
      <alignment vertical="center"/>
      <protection locked="0"/>
    </xf>
    <xf numFmtId="3" fontId="16" fillId="6" borderId="1" xfId="2" applyNumberFormat="1" applyFont="1" applyFill="1" applyBorder="1" applyAlignment="1">
      <alignment horizontal="center" vertical="center" wrapText="1"/>
    </xf>
    <xf numFmtId="3" fontId="16" fillId="0" borderId="1" xfId="2" applyNumberFormat="1" applyFont="1" applyFill="1" applyBorder="1" applyAlignment="1" applyProtection="1">
      <alignment horizontal="left" vertical="center" wrapText="1"/>
      <protection locked="0"/>
    </xf>
    <xf numFmtId="3" fontId="16" fillId="0" borderId="1" xfId="2" applyNumberFormat="1" applyFont="1" applyFill="1" applyBorder="1" applyAlignment="1">
      <alignment horizontal="left" vertical="center" wrapText="1"/>
    </xf>
    <xf numFmtId="0" fontId="17" fillId="0" borderId="37" xfId="19" applyFont="1" applyBorder="1" applyAlignment="1">
      <alignment vertical="center" wrapText="1"/>
    </xf>
    <xf numFmtId="0" fontId="17" fillId="0" borderId="37" xfId="19" applyFont="1" applyBorder="1" applyAlignment="1">
      <alignment horizontal="left" vertical="center" wrapText="1"/>
    </xf>
    <xf numFmtId="0" fontId="15" fillId="0" borderId="0" xfId="2" applyFont="1" applyFill="1" applyBorder="1" applyAlignment="1" applyProtection="1">
      <alignment vertical="center" wrapText="1"/>
    </xf>
    <xf numFmtId="0" fontId="45" fillId="0" borderId="0" xfId="2" applyFont="1" applyBorder="1" applyAlignment="1" applyProtection="1">
      <alignment horizontal="left" vertical="center" wrapText="1"/>
    </xf>
    <xf numFmtId="0" fontId="46" fillId="0" borderId="0" xfId="2" applyFont="1" applyBorder="1" applyAlignment="1" applyProtection="1">
      <alignment horizontal="left" vertical="center" wrapText="1"/>
    </xf>
    <xf numFmtId="0" fontId="16" fillId="0" borderId="0" xfId="0" applyFont="1" applyFill="1"/>
    <xf numFmtId="0" fontId="16" fillId="0" borderId="0" xfId="0" applyFont="1" applyBorder="1" applyAlignment="1" applyProtection="1">
      <alignment horizontal="left" vertical="top"/>
      <protection locked="0"/>
    </xf>
    <xf numFmtId="0" fontId="16" fillId="0" borderId="0" xfId="0" applyFont="1" applyBorder="1" applyAlignment="1" applyProtection="1">
      <alignment horizontal="left" vertical="top" wrapText="1"/>
      <protection locked="0"/>
    </xf>
    <xf numFmtId="0" fontId="47" fillId="0" borderId="0" xfId="0" applyFont="1"/>
    <xf numFmtId="0" fontId="16" fillId="0" borderId="0" xfId="0" applyFont="1" applyBorder="1" applyAlignment="1" applyProtection="1">
      <alignment vertical="center"/>
      <protection locked="0"/>
    </xf>
    <xf numFmtId="0" fontId="16" fillId="0" borderId="0" xfId="0" applyFont="1" applyBorder="1" applyAlignment="1" applyProtection="1">
      <alignment horizontal="center" vertical="center"/>
      <protection locked="0"/>
    </xf>
    <xf numFmtId="0" fontId="33" fillId="0" borderId="0" xfId="4" applyFont="1" applyFill="1" applyBorder="1" applyAlignment="1">
      <alignment vertical="center"/>
    </xf>
    <xf numFmtId="0" fontId="16" fillId="0" borderId="1" xfId="4" applyFont="1" applyBorder="1" applyAlignment="1" applyProtection="1">
      <alignment vertical="center"/>
      <protection locked="0"/>
    </xf>
    <xf numFmtId="3" fontId="16" fillId="0" borderId="1" xfId="4" applyNumberFormat="1" applyFont="1" applyBorder="1" applyAlignment="1" applyProtection="1">
      <alignment vertical="center"/>
      <protection locked="0"/>
    </xf>
    <xf numFmtId="168" fontId="16" fillId="0" borderId="1" xfId="6" applyNumberFormat="1" applyFont="1" applyBorder="1" applyAlignment="1" applyProtection="1">
      <alignment vertical="center"/>
    </xf>
    <xf numFmtId="3" fontId="16" fillId="0" borderId="1" xfId="4" applyNumberFormat="1" applyFont="1" applyBorder="1" applyAlignment="1" applyProtection="1">
      <alignment vertical="center"/>
    </xf>
    <xf numFmtId="49" fontId="16" fillId="0" borderId="0" xfId="3" applyNumberFormat="1" applyFont="1" applyAlignment="1" applyProtection="1">
      <alignment horizontal="left" vertical="center" wrapText="1"/>
    </xf>
    <xf numFmtId="0" fontId="16" fillId="0" borderId="0" xfId="3" applyFont="1" applyAlignment="1" applyProtection="1">
      <alignment vertical="center" wrapText="1"/>
    </xf>
    <xf numFmtId="165" fontId="16" fillId="0" borderId="0" xfId="3" applyNumberFormat="1" applyFont="1" applyAlignment="1" applyProtection="1">
      <alignment vertical="center" wrapText="1"/>
    </xf>
    <xf numFmtId="3" fontId="16" fillId="0" borderId="3" xfId="0" applyNumberFormat="1" applyFont="1" applyBorder="1" applyProtection="1"/>
    <xf numFmtId="3" fontId="16" fillId="0" borderId="3" xfId="0" applyNumberFormat="1" applyFont="1" applyBorder="1" applyProtection="1">
      <protection locked="0"/>
    </xf>
    <xf numFmtId="0" fontId="33" fillId="0" borderId="0" xfId="0" applyFont="1" applyProtection="1"/>
    <xf numFmtId="49" fontId="37" fillId="0" borderId="7" xfId="3" applyNumberFormat="1" applyFont="1" applyBorder="1" applyAlignment="1" applyProtection="1">
      <alignment horizontal="left" vertical="center" wrapText="1"/>
    </xf>
    <xf numFmtId="165" fontId="16" fillId="0" borderId="0" xfId="0" applyNumberFormat="1" applyFont="1" applyProtection="1"/>
    <xf numFmtId="3" fontId="37" fillId="0" borderId="0" xfId="3" applyNumberFormat="1" applyFont="1" applyFill="1" applyBorder="1" applyAlignment="1" applyProtection="1">
      <alignment horizontal="right" vertical="center" wrapText="1"/>
    </xf>
    <xf numFmtId="0" fontId="47" fillId="0" borderId="0" xfId="0" applyFont="1" applyProtection="1"/>
    <xf numFmtId="3" fontId="16" fillId="0" borderId="0" xfId="0" applyNumberFormat="1" applyFont="1" applyProtection="1"/>
    <xf numFmtId="3" fontId="16" fillId="0" borderId="1" xfId="0" applyNumberFormat="1" applyFont="1" applyBorder="1" applyProtection="1"/>
    <xf numFmtId="10" fontId="16" fillId="0" borderId="1" xfId="0" applyNumberFormat="1" applyFont="1" applyBorder="1" applyProtection="1"/>
    <xf numFmtId="3" fontId="16" fillId="0" borderId="1" xfId="0" applyNumberFormat="1" applyFont="1" applyBorder="1" applyProtection="1">
      <protection locked="0"/>
    </xf>
    <xf numFmtId="0" fontId="15" fillId="0" borderId="0" xfId="3" applyFont="1" applyFill="1" applyAlignment="1">
      <alignment vertical="center" wrapText="1"/>
    </xf>
    <xf numFmtId="0" fontId="48" fillId="0" borderId="0" xfId="4" applyFont="1" applyFill="1" applyBorder="1" applyAlignment="1">
      <alignment vertical="center" wrapText="1"/>
    </xf>
    <xf numFmtId="0" fontId="16" fillId="0" borderId="3" xfId="0" applyFont="1" applyBorder="1"/>
    <xf numFmtId="3" fontId="16" fillId="0" borderId="21" xfId="0" applyNumberFormat="1" applyFont="1" applyBorder="1"/>
    <xf numFmtId="3" fontId="16" fillId="0" borderId="21" xfId="0" applyNumberFormat="1" applyFont="1" applyBorder="1" applyProtection="1">
      <protection locked="0"/>
    </xf>
    <xf numFmtId="0" fontId="16" fillId="0" borderId="21" xfId="0" applyFont="1" applyBorder="1" applyProtection="1">
      <protection locked="0"/>
    </xf>
    <xf numFmtId="0" fontId="16" fillId="0" borderId="21" xfId="0" applyFont="1" applyBorder="1"/>
    <xf numFmtId="0" fontId="16" fillId="0" borderId="1" xfId="0" applyFont="1" applyBorder="1"/>
    <xf numFmtId="0" fontId="16" fillId="0" borderId="3" xfId="0" applyFont="1" applyBorder="1" applyProtection="1">
      <protection locked="0"/>
    </xf>
    <xf numFmtId="0" fontId="33" fillId="0" borderId="0" xfId="0" applyFont="1" applyFill="1" applyProtection="1"/>
    <xf numFmtId="2" fontId="33" fillId="0" borderId="0" xfId="0" applyNumberFormat="1" applyFont="1" applyFill="1" applyProtection="1"/>
    <xf numFmtId="3" fontId="16" fillId="0" borderId="0" xfId="0" applyNumberFormat="1" applyFont="1"/>
    <xf numFmtId="0" fontId="38" fillId="0" borderId="0" xfId="0" applyFont="1"/>
    <xf numFmtId="0" fontId="18" fillId="9" borderId="1" xfId="2" applyFont="1" applyFill="1" applyBorder="1" applyAlignment="1">
      <alignment horizontal="left" vertical="center" wrapText="1"/>
    </xf>
    <xf numFmtId="0" fontId="16" fillId="9" borderId="1" xfId="2" applyFont="1" applyFill="1" applyBorder="1" applyAlignment="1">
      <alignment horizontal="right" vertical="center" wrapText="1"/>
    </xf>
    <xf numFmtId="0" fontId="34" fillId="0" borderId="0" xfId="0" applyFont="1"/>
    <xf numFmtId="49" fontId="18" fillId="9" borderId="3" xfId="3" applyNumberFormat="1" applyFont="1" applyFill="1" applyBorder="1" applyAlignment="1" applyProtection="1">
      <alignment horizontal="left" vertical="center" wrapText="1"/>
    </xf>
    <xf numFmtId="0" fontId="18" fillId="9" borderId="3" xfId="3" applyFont="1" applyFill="1" applyBorder="1" applyAlignment="1" applyProtection="1">
      <alignment horizontal="right" vertical="center" wrapText="1"/>
    </xf>
    <xf numFmtId="49" fontId="16" fillId="0" borderId="3" xfId="3" applyNumberFormat="1" applyFont="1" applyBorder="1" applyAlignment="1" applyProtection="1">
      <alignment horizontal="left" vertical="center" wrapText="1"/>
    </xf>
    <xf numFmtId="164" fontId="16" fillId="0" borderId="3" xfId="3" applyNumberFormat="1" applyFont="1" applyFill="1" applyBorder="1" applyAlignment="1" applyProtection="1">
      <alignment horizontal="right" vertical="center" wrapText="1"/>
    </xf>
    <xf numFmtId="3" fontId="16" fillId="0" borderId="3" xfId="3" applyNumberFormat="1" applyFont="1" applyFill="1" applyBorder="1" applyAlignment="1" applyProtection="1">
      <alignment horizontal="right" vertical="center" wrapText="1"/>
    </xf>
    <xf numFmtId="49" fontId="18" fillId="6" borderId="3" xfId="3" applyNumberFormat="1" applyFont="1" applyFill="1" applyBorder="1" applyAlignment="1" applyProtection="1">
      <alignment horizontal="left" vertical="center" wrapText="1"/>
    </xf>
    <xf numFmtId="3" fontId="18" fillId="6" borderId="3" xfId="3" applyNumberFormat="1" applyFont="1" applyFill="1" applyBorder="1" applyAlignment="1" applyProtection="1">
      <alignment horizontal="right" vertical="center" wrapText="1"/>
    </xf>
    <xf numFmtId="49" fontId="18" fillId="9" borderId="1" xfId="3" applyNumberFormat="1" applyFont="1" applyFill="1" applyBorder="1" applyAlignment="1" applyProtection="1">
      <alignment horizontal="left" vertical="center" wrapText="1"/>
    </xf>
    <xf numFmtId="49" fontId="18" fillId="9" borderId="1" xfId="3" applyNumberFormat="1" applyFont="1" applyFill="1" applyBorder="1" applyAlignment="1" applyProtection="1">
      <alignment horizontal="right" vertical="center" wrapText="1"/>
    </xf>
    <xf numFmtId="49" fontId="16" fillId="0" borderId="1" xfId="3" applyNumberFormat="1" applyFont="1" applyBorder="1" applyAlignment="1" applyProtection="1">
      <alignment horizontal="left" vertical="center" wrapText="1"/>
    </xf>
    <xf numFmtId="3" fontId="16" fillId="0" borderId="1" xfId="3" applyNumberFormat="1" applyFont="1" applyFill="1" applyBorder="1" applyAlignment="1" applyProtection="1">
      <alignment horizontal="right" vertical="center" wrapText="1"/>
    </xf>
    <xf numFmtId="168" fontId="16" fillId="0" borderId="1" xfId="3" applyNumberFormat="1" applyFont="1" applyBorder="1" applyAlignment="1" applyProtection="1">
      <alignment horizontal="right" vertical="center" wrapText="1"/>
    </xf>
    <xf numFmtId="49" fontId="50" fillId="0" borderId="1" xfId="1" applyNumberFormat="1" applyFont="1" applyBorder="1" applyAlignment="1" applyProtection="1">
      <alignment horizontal="left" vertical="center" wrapText="1"/>
    </xf>
    <xf numFmtId="3" fontId="16" fillId="0" borderId="1" xfId="3" applyNumberFormat="1" applyFont="1" applyFill="1" applyBorder="1" applyAlignment="1" applyProtection="1">
      <alignment horizontal="right" vertical="center" wrapText="1"/>
      <protection locked="0"/>
    </xf>
    <xf numFmtId="49" fontId="18" fillId="6" borderId="1" xfId="3" applyNumberFormat="1" applyFont="1" applyFill="1" applyBorder="1" applyAlignment="1" applyProtection="1">
      <alignment horizontal="left" vertical="center" wrapText="1"/>
    </xf>
    <xf numFmtId="3" fontId="18" fillId="6" borderId="1" xfId="3" applyNumberFormat="1" applyFont="1" applyFill="1" applyBorder="1" applyAlignment="1" applyProtection="1">
      <alignment horizontal="right" vertical="center" wrapText="1"/>
    </xf>
    <xf numFmtId="168" fontId="18" fillId="6" borderId="1" xfId="3" applyNumberFormat="1" applyFont="1" applyFill="1" applyBorder="1" applyAlignment="1" applyProtection="1">
      <alignment horizontal="right" vertical="center" wrapText="1"/>
    </xf>
    <xf numFmtId="49" fontId="18" fillId="9" borderId="1" xfId="3" applyNumberFormat="1" applyFont="1" applyFill="1" applyBorder="1" applyAlignment="1" applyProtection="1">
      <alignment horizontal="center" vertical="center" wrapText="1"/>
    </xf>
    <xf numFmtId="49" fontId="18" fillId="6" borderId="1" xfId="3" applyNumberFormat="1" applyFont="1" applyFill="1" applyBorder="1" applyAlignment="1" applyProtection="1">
      <alignment horizontal="right" vertical="center" wrapText="1"/>
    </xf>
    <xf numFmtId="0" fontId="18" fillId="9" borderId="3" xfId="4" applyFont="1" applyFill="1" applyBorder="1" applyAlignment="1">
      <alignment vertical="center" wrapText="1"/>
    </xf>
    <xf numFmtId="3" fontId="18" fillId="9" borderId="3" xfId="4" applyNumberFormat="1" applyFont="1" applyFill="1" applyBorder="1" applyAlignment="1">
      <alignment vertical="center" wrapText="1"/>
    </xf>
    <xf numFmtId="0" fontId="18" fillId="9" borderId="0" xfId="4" applyFont="1" applyFill="1" applyBorder="1" applyAlignment="1">
      <alignment vertical="center" wrapText="1"/>
    </xf>
    <xf numFmtId="0" fontId="16" fillId="0" borderId="1" xfId="2" applyFont="1" applyFill="1" applyBorder="1" applyAlignment="1">
      <alignment horizontal="left" vertical="center" wrapText="1"/>
    </xf>
    <xf numFmtId="3" fontId="16" fillId="0" borderId="4" xfId="2" applyNumberFormat="1" applyFont="1" applyFill="1" applyBorder="1" applyAlignment="1" applyProtection="1">
      <alignment horizontal="right" vertical="center" wrapText="1"/>
      <protection locked="0"/>
    </xf>
    <xf numFmtId="3" fontId="18" fillId="6" borderId="1" xfId="2" applyNumberFormat="1" applyFont="1" applyFill="1" applyBorder="1" applyAlignment="1" applyProtection="1">
      <alignment horizontal="left" vertical="center" wrapText="1"/>
      <protection hidden="1"/>
    </xf>
    <xf numFmtId="3" fontId="18" fillId="6" borderId="4" xfId="2" applyNumberFormat="1" applyFont="1" applyFill="1" applyBorder="1" applyAlignment="1" applyProtection="1">
      <alignment horizontal="right" vertical="center" wrapText="1"/>
      <protection hidden="1"/>
    </xf>
    <xf numFmtId="3" fontId="18" fillId="6" borderId="3" xfId="3" applyNumberFormat="1" applyFont="1" applyFill="1" applyBorder="1" applyAlignment="1">
      <alignment horizontal="left" vertical="center" wrapText="1"/>
    </xf>
    <xf numFmtId="3" fontId="18" fillId="6" borderId="21" xfId="3" applyNumberFormat="1" applyFont="1" applyFill="1" applyBorder="1" applyAlignment="1" applyProtection="1">
      <alignment horizontal="right" vertical="center" wrapText="1"/>
      <protection locked="0"/>
    </xf>
    <xf numFmtId="164" fontId="16" fillId="0" borderId="1" xfId="3" applyNumberFormat="1" applyFont="1" applyFill="1" applyBorder="1" applyAlignment="1" applyProtection="1">
      <alignment horizontal="right" vertical="center" wrapText="1"/>
    </xf>
    <xf numFmtId="49" fontId="16" fillId="0" borderId="8" xfId="3" applyNumberFormat="1" applyFont="1" applyBorder="1" applyAlignment="1" applyProtection="1">
      <alignment horizontal="left" vertical="center" wrapText="1"/>
    </xf>
    <xf numFmtId="3" fontId="16" fillId="0" borderId="0" xfId="3" applyNumberFormat="1" applyFont="1" applyFill="1" applyBorder="1" applyAlignment="1" applyProtection="1">
      <alignment horizontal="right" vertical="center" wrapText="1"/>
    </xf>
    <xf numFmtId="3" fontId="18" fillId="0" borderId="0" xfId="3" applyNumberFormat="1" applyFont="1" applyFill="1" applyBorder="1" applyAlignment="1" applyProtection="1">
      <alignment horizontal="left" vertical="center" wrapText="1"/>
    </xf>
    <xf numFmtId="3" fontId="18" fillId="0" borderId="0" xfId="3" applyNumberFormat="1" applyFont="1" applyFill="1" applyBorder="1" applyAlignment="1" applyProtection="1">
      <alignment horizontal="right" vertical="center" wrapText="1"/>
    </xf>
    <xf numFmtId="0" fontId="18" fillId="9" borderId="1" xfId="3" applyFont="1" applyFill="1" applyBorder="1" applyAlignment="1" applyProtection="1">
      <alignment horizontal="right" vertical="center" wrapText="1"/>
    </xf>
    <xf numFmtId="3" fontId="18" fillId="6" borderId="1" xfId="3" applyNumberFormat="1" applyFont="1" applyFill="1" applyBorder="1" applyAlignment="1" applyProtection="1">
      <alignment horizontal="left" vertical="center" wrapText="1"/>
    </xf>
    <xf numFmtId="3" fontId="18" fillId="7" borderId="1" xfId="3" applyNumberFormat="1" applyFont="1" applyFill="1" applyBorder="1" applyAlignment="1" applyProtection="1">
      <alignment horizontal="left" vertical="center" wrapText="1"/>
    </xf>
    <xf numFmtId="164" fontId="18" fillId="7" borderId="1" xfId="3" applyNumberFormat="1" applyFont="1" applyFill="1" applyBorder="1" applyAlignment="1" applyProtection="1">
      <alignment horizontal="right" vertical="center" wrapText="1"/>
    </xf>
    <xf numFmtId="3" fontId="18" fillId="7" borderId="1" xfId="3" applyNumberFormat="1" applyFont="1" applyFill="1" applyBorder="1" applyAlignment="1" applyProtection="1">
      <alignment horizontal="right" vertical="center" wrapText="1"/>
    </xf>
    <xf numFmtId="49" fontId="16" fillId="0" borderId="1" xfId="3" applyNumberFormat="1" applyFont="1" applyFill="1" applyBorder="1" applyAlignment="1" applyProtection="1">
      <alignment horizontal="left" vertical="center" wrapText="1"/>
    </xf>
    <xf numFmtId="0" fontId="48" fillId="10" borderId="3" xfId="2" applyFont="1" applyFill="1" applyBorder="1" applyAlignment="1" applyProtection="1">
      <alignment horizontal="left" vertical="center" wrapText="1"/>
    </xf>
    <xf numFmtId="0" fontId="48" fillId="10" borderId="3" xfId="2" applyFont="1" applyFill="1" applyBorder="1" applyAlignment="1" applyProtection="1">
      <alignment horizontal="center" vertical="center" wrapText="1"/>
    </xf>
    <xf numFmtId="0" fontId="18" fillId="9" borderId="3"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6" fillId="0" borderId="3" xfId="2" applyFont="1" applyBorder="1" applyAlignment="1" applyProtection="1">
      <alignment horizontal="left" vertical="center" wrapText="1"/>
    </xf>
    <xf numFmtId="3" fontId="16" fillId="0" borderId="3" xfId="2" applyNumberFormat="1" applyFont="1" applyBorder="1" applyAlignment="1" applyProtection="1">
      <alignment horizontal="right" vertical="center" wrapText="1"/>
      <protection locked="0"/>
    </xf>
    <xf numFmtId="0" fontId="18" fillId="6" borderId="3" xfId="2" applyFont="1" applyFill="1" applyBorder="1" applyAlignment="1" applyProtection="1">
      <alignment horizontal="left" vertical="center" wrapText="1"/>
    </xf>
    <xf numFmtId="3" fontId="18" fillId="6" borderId="3" xfId="2" applyNumberFormat="1" applyFont="1" applyFill="1" applyBorder="1" applyAlignment="1" applyProtection="1">
      <alignment horizontal="right" vertical="center" wrapText="1"/>
    </xf>
    <xf numFmtId="0" fontId="19" fillId="9" borderId="3" xfId="1" applyFont="1" applyFill="1" applyBorder="1" applyAlignment="1" applyProtection="1">
      <alignment horizontal="left" vertical="center" wrapText="1"/>
    </xf>
    <xf numFmtId="3" fontId="16" fillId="9" borderId="3" xfId="2" applyNumberFormat="1" applyFont="1" applyFill="1" applyBorder="1" applyAlignment="1" applyProtection="1">
      <alignment horizontal="left" vertical="center" wrapText="1"/>
    </xf>
    <xf numFmtId="3" fontId="16" fillId="0" borderId="3" xfId="2" applyNumberFormat="1" applyFont="1" applyBorder="1" applyAlignment="1" applyProtection="1">
      <alignment horizontal="right" vertical="center" wrapText="1"/>
    </xf>
    <xf numFmtId="0" fontId="18" fillId="7" borderId="3" xfId="2" applyFont="1" applyFill="1" applyBorder="1" applyAlignment="1" applyProtection="1">
      <alignment horizontal="left" vertical="center" wrapText="1"/>
    </xf>
    <xf numFmtId="3" fontId="18" fillId="7" borderId="3" xfId="2" applyNumberFormat="1" applyFont="1" applyFill="1" applyBorder="1" applyAlignment="1" applyProtection="1">
      <alignment horizontal="right" vertical="center" wrapText="1"/>
    </xf>
    <xf numFmtId="0" fontId="33" fillId="10" borderId="3" xfId="2" applyFont="1" applyFill="1" applyBorder="1" applyAlignment="1" applyProtection="1">
      <alignment horizontal="left" vertical="center" wrapText="1"/>
    </xf>
    <xf numFmtId="3" fontId="18" fillId="6" borderId="1" xfId="2" applyNumberFormat="1" applyFont="1" applyFill="1" applyBorder="1" applyAlignment="1" applyProtection="1">
      <alignment horizontal="right" vertical="center" wrapText="1"/>
      <protection hidden="1"/>
    </xf>
    <xf numFmtId="0" fontId="18" fillId="7" borderId="1" xfId="4" applyFont="1" applyFill="1" applyBorder="1" applyAlignment="1">
      <alignment vertical="center" wrapText="1"/>
    </xf>
    <xf numFmtId="3" fontId="18" fillId="7" borderId="1" xfId="4" applyNumberFormat="1" applyFont="1" applyFill="1" applyBorder="1" applyAlignment="1">
      <alignment vertical="center" wrapText="1"/>
    </xf>
    <xf numFmtId="0" fontId="16" fillId="0" borderId="5" xfId="2" applyFont="1" applyFill="1" applyBorder="1" applyAlignment="1">
      <alignment horizontal="left" vertical="center" wrapText="1"/>
    </xf>
    <xf numFmtId="3" fontId="16" fillId="0" borderId="5" xfId="2" applyNumberFormat="1" applyFont="1" applyFill="1" applyBorder="1" applyAlignment="1">
      <alignment horizontal="right" vertical="center" wrapText="1"/>
    </xf>
    <xf numFmtId="3" fontId="16" fillId="0" borderId="1" xfId="2" applyNumberFormat="1" applyFont="1" applyFill="1" applyBorder="1" applyAlignment="1">
      <alignment horizontal="right" vertical="center" wrapText="1"/>
    </xf>
    <xf numFmtId="0" fontId="16" fillId="0" borderId="1" xfId="0" applyFont="1" applyFill="1" applyBorder="1" applyAlignment="1">
      <alignment horizontal="left"/>
    </xf>
    <xf numFmtId="3" fontId="16" fillId="0" borderId="1" xfId="0" applyNumberFormat="1" applyFont="1" applyFill="1" applyBorder="1" applyAlignment="1">
      <alignment horizontal="right"/>
    </xf>
    <xf numFmtId="49" fontId="16" fillId="0" borderId="1" xfId="3" applyNumberFormat="1" applyFont="1" applyFill="1" applyBorder="1" applyAlignment="1">
      <alignment horizontal="left" vertical="center" wrapText="1"/>
    </xf>
    <xf numFmtId="3" fontId="16" fillId="0" borderId="1" xfId="3" applyNumberFormat="1" applyFont="1" applyFill="1" applyBorder="1" applyAlignment="1">
      <alignment horizontal="right" vertical="center" wrapText="1"/>
    </xf>
    <xf numFmtId="3" fontId="16" fillId="0" borderId="0" xfId="0" applyNumberFormat="1" applyFont="1" applyFill="1"/>
    <xf numFmtId="3" fontId="16" fillId="0" borderId="1" xfId="0" applyNumberFormat="1" applyFont="1" applyFill="1" applyBorder="1" applyAlignment="1" applyProtection="1">
      <alignment horizontal="right"/>
      <protection locked="0"/>
    </xf>
    <xf numFmtId="49" fontId="18" fillId="6" borderId="1" xfId="3" applyNumberFormat="1" applyFont="1" applyFill="1" applyBorder="1" applyAlignment="1">
      <alignment horizontal="left" vertical="center" wrapText="1"/>
    </xf>
    <xf numFmtId="3" fontId="18" fillId="6" borderId="1" xfId="3" applyNumberFormat="1" applyFont="1" applyFill="1" applyBorder="1" applyAlignment="1">
      <alignment horizontal="right" vertical="center" wrapText="1"/>
    </xf>
    <xf numFmtId="0" fontId="16" fillId="0" borderId="4" xfId="2" applyFont="1" applyFill="1" applyBorder="1" applyAlignment="1">
      <alignment horizontal="left" vertical="center" wrapText="1"/>
    </xf>
    <xf numFmtId="49" fontId="18" fillId="6" borderId="4" xfId="3" applyNumberFormat="1" applyFont="1" applyFill="1" applyBorder="1" applyAlignment="1">
      <alignment horizontal="left" vertical="center" wrapText="1"/>
    </xf>
    <xf numFmtId="0" fontId="16" fillId="6" borderId="38" xfId="0" applyFont="1" applyFill="1" applyBorder="1" applyAlignment="1">
      <alignment horizontal="right"/>
    </xf>
    <xf numFmtId="0" fontId="16" fillId="0" borderId="38" xfId="0" applyFont="1" applyBorder="1"/>
    <xf numFmtId="3" fontId="16" fillId="0" borderId="38" xfId="0" applyNumberFormat="1" applyFont="1" applyBorder="1"/>
    <xf numFmtId="3" fontId="18" fillId="6" borderId="38" xfId="3" applyNumberFormat="1" applyFont="1" applyFill="1" applyBorder="1" applyAlignment="1">
      <alignment horizontal="right" vertical="center" wrapText="1"/>
    </xf>
    <xf numFmtId="49" fontId="18" fillId="6" borderId="38" xfId="3" applyNumberFormat="1" applyFont="1" applyFill="1" applyBorder="1" applyAlignment="1">
      <alignment horizontal="left" vertical="center" wrapText="1"/>
    </xf>
    <xf numFmtId="0" fontId="49" fillId="10" borderId="3" xfId="2" applyFont="1" applyFill="1" applyBorder="1" applyAlignment="1" applyProtection="1">
      <alignment horizontal="left" vertical="center" wrapText="1"/>
    </xf>
    <xf numFmtId="0" fontId="16" fillId="0" borderId="3" xfId="2" applyFont="1" applyFill="1" applyBorder="1" applyAlignment="1" applyProtection="1">
      <alignment horizontal="left" vertical="center" wrapText="1"/>
    </xf>
    <xf numFmtId="3" fontId="16" fillId="0" borderId="3" xfId="2" applyNumberFormat="1" applyFont="1" applyFill="1" applyBorder="1" applyAlignment="1" applyProtection="1">
      <alignment horizontal="right" vertical="center" wrapText="1"/>
    </xf>
    <xf numFmtId="3" fontId="18" fillId="9" borderId="3" xfId="2" applyNumberFormat="1" applyFont="1" applyFill="1" applyBorder="1" applyAlignment="1" applyProtection="1">
      <alignment horizontal="right" vertical="center" wrapText="1"/>
      <protection locked="0"/>
    </xf>
    <xf numFmtId="0" fontId="0" fillId="0" borderId="0" xfId="0" applyAlignment="1">
      <alignment horizontal="right"/>
    </xf>
    <xf numFmtId="3" fontId="16" fillId="9" borderId="3" xfId="2" applyNumberFormat="1" applyFont="1" applyFill="1" applyBorder="1" applyAlignment="1" applyProtection="1">
      <alignment horizontal="right" vertical="center" wrapText="1"/>
    </xf>
    <xf numFmtId="0" fontId="18" fillId="10" borderId="3" xfId="2" applyFont="1" applyFill="1" applyBorder="1" applyAlignment="1" applyProtection="1">
      <alignment horizontal="right" vertical="center" wrapText="1"/>
    </xf>
    <xf numFmtId="0" fontId="18" fillId="0" borderId="22" xfId="2" applyFont="1" applyFill="1" applyBorder="1" applyAlignment="1" applyProtection="1">
      <alignment horizontal="left" vertical="center" wrapText="1"/>
    </xf>
    <xf numFmtId="3" fontId="16" fillId="0" borderId="22" xfId="2" applyNumberFormat="1" applyFont="1" applyFill="1" applyBorder="1" applyAlignment="1" applyProtection="1">
      <alignment horizontal="right" vertical="center" wrapText="1"/>
    </xf>
    <xf numFmtId="0" fontId="8" fillId="10" borderId="3" xfId="5" applyFont="1" applyFill="1" applyBorder="1" applyAlignment="1">
      <alignment horizontal="left" vertical="center" wrapText="1"/>
    </xf>
    <xf numFmtId="0" fontId="8" fillId="10" borderId="3" xfId="5" applyFont="1" applyFill="1" applyBorder="1" applyAlignment="1">
      <alignment horizontal="right" vertical="center" wrapText="1"/>
    </xf>
    <xf numFmtId="0" fontId="2" fillId="0" borderId="3" xfId="5" applyFont="1" applyBorder="1" applyAlignment="1">
      <alignment vertical="center" wrapText="1"/>
    </xf>
    <xf numFmtId="168" fontId="51" fillId="0" borderId="3" xfId="5" applyNumberFormat="1" applyFont="1" applyBorder="1" applyAlignment="1">
      <alignment horizontal="right" vertical="center" wrapText="1"/>
    </xf>
    <xf numFmtId="168" fontId="51" fillId="0" borderId="3" xfId="5" applyNumberFormat="1" applyFont="1" applyBorder="1" applyAlignment="1">
      <alignment horizontal="left" vertical="center" wrapText="1"/>
    </xf>
    <xf numFmtId="0" fontId="2" fillId="0" borderId="3" xfId="0" applyFont="1" applyBorder="1"/>
    <xf numFmtId="0" fontId="2" fillId="0" borderId="3" xfId="5" applyFont="1" applyFill="1" applyBorder="1" applyAlignment="1">
      <alignment vertical="center" wrapText="1"/>
    </xf>
    <xf numFmtId="0" fontId="51" fillId="0" borderId="3" xfId="5" applyFont="1" applyFill="1" applyBorder="1" applyAlignment="1">
      <alignment vertical="center" wrapText="1"/>
    </xf>
    <xf numFmtId="0" fontId="51" fillId="9" borderId="3" xfId="5" applyFont="1" applyFill="1" applyBorder="1" applyAlignment="1">
      <alignment horizontal="left" vertical="center" wrapText="1"/>
    </xf>
    <xf numFmtId="0" fontId="2" fillId="9" borderId="3" xfId="5" applyFont="1" applyFill="1" applyBorder="1" applyAlignment="1">
      <alignment horizontal="left" vertical="center" wrapText="1"/>
    </xf>
    <xf numFmtId="0" fontId="16" fillId="0" borderId="1" xfId="0" applyFont="1" applyBorder="1" applyAlignment="1" applyProtection="1">
      <alignment horizontal="center" vertical="center"/>
      <protection locked="0"/>
    </xf>
    <xf numFmtId="14" fontId="20" fillId="0" borderId="0" xfId="0" applyNumberFormat="1" applyFont="1" applyAlignment="1" applyProtection="1">
      <protection locked="0"/>
    </xf>
    <xf numFmtId="0" fontId="16" fillId="0" borderId="0" xfId="20" applyFont="1"/>
    <xf numFmtId="0" fontId="52" fillId="0" borderId="0" xfId="20" applyFont="1" applyBorder="1" applyAlignment="1" applyProtection="1">
      <alignment horizontal="centerContinuous"/>
      <protection locked="0"/>
    </xf>
    <xf numFmtId="0" fontId="16" fillId="0" borderId="0" xfId="20" applyFont="1" applyAlignment="1">
      <alignment horizontal="centerContinuous"/>
    </xf>
    <xf numFmtId="0" fontId="53" fillId="0" borderId="0" xfId="20" applyFont="1" applyBorder="1" applyAlignment="1" applyProtection="1">
      <alignment horizontal="centerContinuous"/>
      <protection locked="0"/>
    </xf>
    <xf numFmtId="0" fontId="2" fillId="0" borderId="0" xfId="20" applyFont="1" applyAlignment="1">
      <alignment horizontal="centerContinuous"/>
    </xf>
    <xf numFmtId="49" fontId="51" fillId="9" borderId="58" xfId="3" applyNumberFormat="1" applyFont="1" applyFill="1" applyBorder="1" applyAlignment="1" applyProtection="1">
      <alignment horizontal="center" vertical="center" wrapText="1"/>
    </xf>
    <xf numFmtId="0" fontId="2" fillId="0" borderId="0" xfId="20" applyFont="1"/>
    <xf numFmtId="0" fontId="54" fillId="0" borderId="0" xfId="20" applyFont="1" applyBorder="1"/>
    <xf numFmtId="0" fontId="2" fillId="0" borderId="0" xfId="20" applyFont="1" applyBorder="1"/>
    <xf numFmtId="4" fontId="2" fillId="0" borderId="0" xfId="20" applyNumberFormat="1" applyFont="1" applyBorder="1"/>
    <xf numFmtId="2" fontId="2" fillId="0" borderId="0" xfId="20" applyNumberFormat="1" applyFont="1" applyBorder="1"/>
    <xf numFmtId="2" fontId="55" fillId="0" borderId="0" xfId="20" applyNumberFormat="1" applyFont="1" applyBorder="1"/>
    <xf numFmtId="4" fontId="16" fillId="0" borderId="0" xfId="20" applyNumberFormat="1" applyFont="1"/>
    <xf numFmtId="0" fontId="54" fillId="0" borderId="59" xfId="20" applyFont="1" applyBorder="1"/>
    <xf numFmtId="0" fontId="2" fillId="0" borderId="59" xfId="20" applyFont="1" applyBorder="1"/>
    <xf numFmtId="4" fontId="2" fillId="4" borderId="59" xfId="20" applyNumberFormat="1" applyFont="1" applyFill="1" applyBorder="1"/>
    <xf numFmtId="4" fontId="2" fillId="0" borderId="59" xfId="20" applyNumberFormat="1" applyFont="1" applyBorder="1"/>
    <xf numFmtId="0" fontId="16" fillId="0" borderId="0" xfId="20" applyFont="1" applyBorder="1"/>
    <xf numFmtId="2" fontId="16" fillId="0" borderId="0" xfId="20" applyNumberFormat="1" applyFont="1"/>
    <xf numFmtId="0" fontId="56" fillId="0" borderId="0" xfId="0" applyFont="1" applyFill="1" applyBorder="1" applyAlignment="1" applyProtection="1">
      <alignment horizontal="center"/>
      <protection locked="0"/>
    </xf>
    <xf numFmtId="0" fontId="57" fillId="0" borderId="0" xfId="0" applyFont="1" applyFill="1" applyBorder="1" applyAlignment="1" applyProtection="1">
      <alignment horizontal="center"/>
      <protection locked="0"/>
    </xf>
    <xf numFmtId="0" fontId="44" fillId="0" borderId="0" xfId="1" applyFill="1" applyBorder="1" applyAlignment="1" applyProtection="1">
      <alignment horizontal="center"/>
      <protection locked="0"/>
    </xf>
    <xf numFmtId="0" fontId="58" fillId="0" borderId="0" xfId="1" applyFont="1" applyFill="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1" xfId="0" applyFont="1" applyFill="1" applyBorder="1" applyAlignment="1" applyProtection="1">
      <alignment horizontal="center" wrapText="1"/>
      <protection locked="0"/>
    </xf>
    <xf numFmtId="3" fontId="60" fillId="11" borderId="1" xfId="2" applyNumberFormat="1" applyFont="1" applyFill="1" applyBorder="1" applyAlignment="1" applyProtection="1">
      <alignment horizontal="left" vertical="center" wrapText="1"/>
      <protection locked="0"/>
    </xf>
    <xf numFmtId="165" fontId="0" fillId="0" borderId="1" xfId="0" applyNumberFormat="1" applyBorder="1" applyProtection="1">
      <protection locked="0"/>
    </xf>
    <xf numFmtId="0" fontId="0" fillId="0" borderId="1" xfId="0" applyBorder="1" applyProtection="1">
      <protection locked="0"/>
    </xf>
    <xf numFmtId="0" fontId="2" fillId="0" borderId="1" xfId="0" applyFont="1" applyBorder="1" applyAlignment="1" applyProtection="1">
      <alignment horizontal="center" vertical="center" wrapText="1"/>
      <protection locked="0"/>
    </xf>
    <xf numFmtId="3" fontId="5" fillId="11" borderId="1" xfId="2" applyNumberFormat="1" applyFont="1" applyFill="1" applyBorder="1" applyAlignment="1" applyProtection="1">
      <alignment horizontal="left" vertical="center" wrapText="1"/>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0" fillId="0" borderId="1" xfId="0" applyBorder="1" applyAlignment="1" applyProtection="1">
      <alignment vertical="center"/>
      <protection locked="0"/>
    </xf>
    <xf numFmtId="0" fontId="0" fillId="0" borderId="1" xfId="0" applyFill="1" applyBorder="1" applyAlignment="1" applyProtection="1">
      <alignment vertical="center"/>
      <protection locked="0"/>
    </xf>
    <xf numFmtId="0" fontId="2" fillId="0" borderId="1" xfId="0" applyFont="1" applyBorder="1" applyProtection="1">
      <protection locked="0"/>
    </xf>
    <xf numFmtId="0" fontId="0" fillId="0" borderId="1" xfId="0" applyBorder="1" applyAlignment="1" applyProtection="1">
      <alignment horizontal="center"/>
      <protection locked="0"/>
    </xf>
    <xf numFmtId="0" fontId="2" fillId="0" borderId="1" xfId="4" applyFont="1" applyBorder="1" applyAlignment="1" applyProtection="1">
      <alignment vertical="center"/>
      <protection locked="0"/>
    </xf>
    <xf numFmtId="3" fontId="2" fillId="0" borderId="1" xfId="4" applyNumberFormat="1" applyFont="1" applyBorder="1" applyAlignment="1" applyProtection="1">
      <alignment vertical="center"/>
      <protection locked="0"/>
    </xf>
    <xf numFmtId="3" fontId="5" fillId="0" borderId="1" xfId="3" applyNumberFormat="1" applyFont="1" applyFill="1" applyBorder="1" applyAlignment="1" applyProtection="1">
      <alignment horizontal="right" vertical="center" wrapText="1"/>
      <protection locked="0"/>
    </xf>
    <xf numFmtId="3" fontId="0" fillId="0" borderId="3" xfId="0" applyNumberFormat="1" applyBorder="1" applyProtection="1">
      <protection locked="0"/>
    </xf>
    <xf numFmtId="3" fontId="0" fillId="0" borderId="4" xfId="0" applyNumberFormat="1" applyBorder="1" applyProtection="1">
      <protection locked="0"/>
    </xf>
    <xf numFmtId="0" fontId="0" fillId="0" borderId="4" xfId="0" applyBorder="1" applyProtection="1">
      <protection locked="0"/>
    </xf>
    <xf numFmtId="3" fontId="0" fillId="0" borderId="21" xfId="0" applyNumberFormat="1" applyBorder="1" applyProtection="1">
      <protection locked="0"/>
    </xf>
    <xf numFmtId="3" fontId="16" fillId="0" borderId="1" xfId="0" applyNumberFormat="1" applyFont="1" applyBorder="1" applyAlignment="1">
      <alignment horizontal="right"/>
    </xf>
    <xf numFmtId="169" fontId="16" fillId="0" borderId="1" xfId="0" applyNumberFormat="1" applyFont="1" applyBorder="1"/>
    <xf numFmtId="3" fontId="16" fillId="0" borderId="1" xfId="0" applyNumberFormat="1" applyFont="1" applyBorder="1"/>
    <xf numFmtId="3" fontId="18" fillId="3" borderId="6" xfId="2" applyNumberFormat="1" applyFont="1" applyFill="1" applyBorder="1" applyAlignment="1" applyProtection="1">
      <alignment horizontal="left" vertical="center" wrapText="1"/>
    </xf>
    <xf numFmtId="3" fontId="18" fillId="3" borderId="2" xfId="2" applyNumberFormat="1" applyFont="1" applyFill="1" applyBorder="1" applyAlignment="1" applyProtection="1">
      <alignment horizontal="left" vertical="center" wrapText="1"/>
    </xf>
    <xf numFmtId="0" fontId="15" fillId="8" borderId="4" xfId="2" applyFont="1" applyFill="1" applyBorder="1" applyAlignment="1" applyProtection="1">
      <alignment horizontal="center" vertical="center" wrapText="1"/>
    </xf>
    <xf numFmtId="0" fontId="15" fillId="8" borderId="6" xfId="2" applyFont="1" applyFill="1" applyBorder="1" applyAlignment="1" applyProtection="1">
      <alignment horizontal="center" vertical="center" wrapText="1"/>
    </xf>
    <xf numFmtId="0" fontId="15" fillId="8" borderId="2" xfId="2" applyFont="1" applyFill="1" applyBorder="1" applyAlignment="1" applyProtection="1">
      <alignment horizontal="center" vertical="center" wrapText="1"/>
    </xf>
    <xf numFmtId="0" fontId="20" fillId="0" borderId="0" xfId="0" applyFont="1" applyAlignment="1" applyProtection="1">
      <alignment horizontal="right"/>
    </xf>
    <xf numFmtId="0" fontId="22" fillId="0" borderId="0" xfId="0" applyFont="1" applyFill="1" applyAlignment="1" applyProtection="1">
      <alignment horizontal="left" vertical="center"/>
    </xf>
    <xf numFmtId="0" fontId="20" fillId="0" borderId="0" xfId="2" applyFont="1" applyFill="1" applyBorder="1" applyAlignment="1" applyProtection="1">
      <alignment horizontal="left" vertical="center" wrapText="1"/>
    </xf>
    <xf numFmtId="0" fontId="16" fillId="0" borderId="0" xfId="0" applyFont="1" applyAlignment="1" applyProtection="1">
      <alignment horizontal="center"/>
    </xf>
    <xf numFmtId="0" fontId="20" fillId="0" borderId="0" xfId="0" applyFont="1" applyAlignment="1" applyProtection="1">
      <alignment horizontal="center"/>
    </xf>
    <xf numFmtId="3" fontId="21" fillId="0" borderId="0" xfId="2" applyNumberFormat="1" applyFont="1" applyFill="1" applyBorder="1" applyAlignment="1" applyProtection="1">
      <alignment horizontal="left" vertical="top" wrapText="1"/>
    </xf>
    <xf numFmtId="0" fontId="23" fillId="8" borderId="0" xfId="0" applyFont="1" applyFill="1" applyAlignment="1">
      <alignment horizontal="left" vertical="center"/>
    </xf>
    <xf numFmtId="0" fontId="24" fillId="4" borderId="0" xfId="1" applyFont="1" applyFill="1" applyAlignment="1" applyProtection="1">
      <alignment horizontal="left"/>
    </xf>
    <xf numFmtId="0" fontId="26" fillId="4" borderId="0" xfId="17" applyFont="1" applyFill="1" applyAlignment="1"/>
    <xf numFmtId="0" fontId="26" fillId="4" borderId="31" xfId="17" applyFont="1" applyFill="1" applyBorder="1" applyAlignment="1">
      <alignment horizontal="left" vertical="top" indent="1"/>
    </xf>
    <xf numFmtId="0" fontId="26" fillId="4" borderId="0" xfId="17" applyFont="1" applyFill="1" applyAlignment="1">
      <alignment horizontal="left" vertical="top" indent="1"/>
    </xf>
    <xf numFmtId="0" fontId="26" fillId="4" borderId="32" xfId="17" applyFont="1" applyFill="1" applyBorder="1" applyAlignment="1">
      <alignment horizontal="left" vertical="top" indent="1"/>
    </xf>
    <xf numFmtId="0" fontId="26" fillId="4" borderId="0" xfId="17" applyFont="1" applyFill="1" applyBorder="1" applyAlignment="1">
      <alignment horizontal="left" vertical="top" indent="1"/>
    </xf>
    <xf numFmtId="0" fontId="26" fillId="4" borderId="33" xfId="17" applyFont="1" applyFill="1" applyBorder="1" applyAlignment="1">
      <alignment horizontal="left" vertical="top" indent="1"/>
    </xf>
    <xf numFmtId="0" fontId="26" fillId="4" borderId="34" xfId="17" applyFont="1" applyFill="1" applyBorder="1" applyAlignment="1">
      <alignment horizontal="left" vertical="top" indent="1"/>
    </xf>
    <xf numFmtId="0" fontId="26" fillId="4" borderId="35" xfId="17" applyFont="1" applyFill="1" applyBorder="1" applyAlignment="1">
      <alignment horizontal="left" vertical="top" indent="1"/>
    </xf>
    <xf numFmtId="0" fontId="30" fillId="4" borderId="29" xfId="17" applyFont="1" applyFill="1" applyBorder="1" applyAlignment="1">
      <alignment horizontal="left" vertical="center" indent="1"/>
    </xf>
    <xf numFmtId="0" fontId="31" fillId="4" borderId="30" xfId="17" applyFont="1" applyFill="1" applyBorder="1" applyAlignment="1">
      <alignment horizontal="left" vertical="center" indent="1"/>
    </xf>
    <xf numFmtId="0" fontId="31" fillId="4" borderId="0" xfId="17" applyFont="1" applyFill="1" applyBorder="1" applyAlignment="1">
      <alignment horizontal="left" vertical="center" indent="1"/>
    </xf>
    <xf numFmtId="0" fontId="31" fillId="4" borderId="32" xfId="17" applyFont="1" applyFill="1" applyBorder="1" applyAlignment="1">
      <alignment horizontal="left" vertical="center" indent="1"/>
    </xf>
    <xf numFmtId="0" fontId="30" fillId="4" borderId="28" xfId="17" applyFont="1" applyFill="1" applyBorder="1" applyAlignment="1">
      <alignment horizontal="left" vertical="top" indent="1"/>
    </xf>
    <xf numFmtId="0" fontId="31" fillId="4" borderId="29" xfId="17" applyFont="1" applyFill="1" applyBorder="1" applyAlignment="1">
      <alignment horizontal="left" vertical="top" indent="1"/>
    </xf>
    <xf numFmtId="0" fontId="31" fillId="4" borderId="31" xfId="17" applyFont="1" applyFill="1" applyBorder="1" applyAlignment="1">
      <alignment horizontal="left" vertical="top" indent="1"/>
    </xf>
    <xf numFmtId="0" fontId="31" fillId="4" borderId="0" xfId="17" applyFont="1" applyFill="1" applyBorder="1" applyAlignment="1">
      <alignment horizontal="left" vertical="top" indent="1"/>
    </xf>
    <xf numFmtId="0" fontId="31" fillId="4" borderId="29" xfId="17" applyFont="1" applyFill="1" applyBorder="1" applyAlignment="1">
      <alignment horizontal="left" vertical="center" indent="1"/>
    </xf>
    <xf numFmtId="0" fontId="32" fillId="4" borderId="31" xfId="17" applyFont="1" applyFill="1" applyBorder="1" applyAlignment="1">
      <alignment horizontal="left" vertical="center" indent="1"/>
    </xf>
    <xf numFmtId="0" fontId="32" fillId="4" borderId="0" xfId="17" applyFont="1" applyFill="1" applyBorder="1" applyAlignment="1">
      <alignment horizontal="left" vertical="center" indent="1"/>
    </xf>
    <xf numFmtId="0" fontId="32" fillId="4" borderId="32" xfId="17" applyFont="1" applyFill="1" applyBorder="1" applyAlignment="1">
      <alignment horizontal="left" vertical="center" indent="1"/>
    </xf>
    <xf numFmtId="170" fontId="27" fillId="5" borderId="0" xfId="17" applyNumberFormat="1" applyFont="1" applyFill="1" applyBorder="1" applyAlignment="1">
      <alignment horizontal="center" vertical="center"/>
    </xf>
    <xf numFmtId="171" fontId="27" fillId="5" borderId="0" xfId="17" applyNumberFormat="1" applyFont="1" applyFill="1" applyBorder="1" applyAlignment="1">
      <alignment horizontal="center" vertical="center"/>
    </xf>
    <xf numFmtId="0" fontId="28" fillId="4" borderId="0" xfId="17" applyFont="1" applyFill="1" applyAlignment="1">
      <alignment vertical="center"/>
    </xf>
    <xf numFmtId="0" fontId="30" fillId="4" borderId="28" xfId="17" applyFont="1" applyFill="1" applyBorder="1" applyAlignment="1">
      <alignment horizontal="left" vertical="top" indent="2"/>
    </xf>
    <xf numFmtId="0" fontId="31" fillId="4" borderId="29" xfId="17" applyFont="1" applyFill="1" applyBorder="1" applyAlignment="1">
      <alignment horizontal="left" vertical="top" indent="2"/>
    </xf>
    <xf numFmtId="0" fontId="31" fillId="4" borderId="31" xfId="17" applyFont="1" applyFill="1" applyBorder="1" applyAlignment="1">
      <alignment horizontal="left" vertical="top" indent="2"/>
    </xf>
    <xf numFmtId="0" fontId="31" fillId="4" borderId="0" xfId="17" applyFont="1" applyFill="1" applyBorder="1" applyAlignment="1">
      <alignment horizontal="left" vertical="top" indent="2"/>
    </xf>
    <xf numFmtId="0" fontId="30" fillId="4" borderId="28" xfId="17" applyFont="1" applyFill="1" applyBorder="1" applyAlignment="1">
      <alignment horizontal="left" vertical="top" wrapText="1" indent="1"/>
    </xf>
    <xf numFmtId="0" fontId="30" fillId="4" borderId="29" xfId="17" applyFont="1" applyFill="1" applyBorder="1" applyAlignment="1">
      <alignment horizontal="left" vertical="top" indent="1"/>
    </xf>
    <xf numFmtId="0" fontId="30" fillId="4" borderId="30" xfId="17" applyFont="1" applyFill="1" applyBorder="1" applyAlignment="1">
      <alignment horizontal="left" vertical="top" indent="1"/>
    </xf>
    <xf numFmtId="0" fontId="30" fillId="4" borderId="31" xfId="17" applyFont="1" applyFill="1" applyBorder="1" applyAlignment="1">
      <alignment horizontal="left" vertical="top" indent="1"/>
    </xf>
    <xf numFmtId="0" fontId="30" fillId="4" borderId="0" xfId="17" applyFont="1" applyFill="1" applyBorder="1" applyAlignment="1">
      <alignment horizontal="left" vertical="top" indent="1"/>
    </xf>
    <xf numFmtId="0" fontId="30" fillId="4" borderId="32" xfId="17" applyFont="1" applyFill="1" applyBorder="1" applyAlignment="1">
      <alignment horizontal="left" vertical="top" indent="1"/>
    </xf>
    <xf numFmtId="0" fontId="15" fillId="8" borderId="0" xfId="2" applyFont="1" applyFill="1" applyBorder="1" applyAlignment="1">
      <alignment horizontal="left" vertical="center" wrapText="1"/>
    </xf>
    <xf numFmtId="0" fontId="17" fillId="0" borderId="36" xfId="19">
      <alignment horizontal="left" vertical="center" wrapText="1"/>
    </xf>
    <xf numFmtId="0" fontId="34" fillId="0" borderId="39" xfId="0" applyFont="1" applyBorder="1" applyAlignment="1" applyProtection="1">
      <alignment horizontal="center" vertical="center" wrapText="1"/>
      <protection locked="0"/>
    </xf>
    <xf numFmtId="0" fontId="34" fillId="0" borderId="40" xfId="0" applyFont="1" applyBorder="1" applyAlignment="1" applyProtection="1">
      <alignment horizontal="center" vertical="center"/>
      <protection locked="0"/>
    </xf>
    <xf numFmtId="0" fontId="34" fillId="0" borderId="41" xfId="0" applyFont="1" applyBorder="1" applyAlignment="1" applyProtection="1">
      <alignment horizontal="center" vertical="center"/>
      <protection locked="0"/>
    </xf>
    <xf numFmtId="0" fontId="17" fillId="0" borderId="36" xfId="19" applyFont="1">
      <alignment horizontal="left" vertical="center" wrapText="1"/>
    </xf>
    <xf numFmtId="0" fontId="57" fillId="0" borderId="60" xfId="0" applyFont="1" applyBorder="1" applyAlignment="1" applyProtection="1">
      <alignment vertical="top" wrapText="1"/>
      <protection locked="0"/>
    </xf>
    <xf numFmtId="0" fontId="56" fillId="0" borderId="60" xfId="0" applyFont="1" applyBorder="1" applyAlignment="1" applyProtection="1">
      <alignment vertical="top" wrapText="1"/>
      <protection locked="0"/>
    </xf>
    <xf numFmtId="0" fontId="56" fillId="0" borderId="0" xfId="0" applyFont="1" applyAlignment="1" applyProtection="1">
      <alignment vertical="top" wrapText="1"/>
      <protection locked="0"/>
    </xf>
    <xf numFmtId="0" fontId="57" fillId="0" borderId="60" xfId="0" quotePrefix="1" applyFont="1" applyBorder="1" applyAlignment="1" applyProtection="1">
      <alignment vertical="top" wrapText="1"/>
      <protection locked="0"/>
    </xf>
    <xf numFmtId="0" fontId="56" fillId="0" borderId="60" xfId="0" applyFont="1" applyBorder="1" applyAlignment="1" applyProtection="1">
      <alignment vertical="top"/>
      <protection locked="0"/>
    </xf>
    <xf numFmtId="0" fontId="56" fillId="0" borderId="0" xfId="0" applyFont="1" applyBorder="1" applyAlignment="1" applyProtection="1">
      <alignment vertical="top"/>
      <protection locked="0"/>
    </xf>
    <xf numFmtId="0" fontId="17" fillId="0" borderId="0" xfId="19" applyFont="1" applyBorder="1" applyAlignment="1">
      <alignment horizontal="left" vertical="center" wrapText="1"/>
    </xf>
    <xf numFmtId="0" fontId="16" fillId="7" borderId="1" xfId="2" applyFont="1" applyFill="1" applyBorder="1" applyAlignment="1">
      <alignment horizontal="center" vertical="center" wrapText="1"/>
    </xf>
    <xf numFmtId="0" fontId="16" fillId="0" borderId="1" xfId="0"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0" fontId="16" fillId="0" borderId="0" xfId="0" applyFont="1" applyFill="1" applyBorder="1" applyAlignment="1">
      <alignment horizontal="center" wrapText="1"/>
    </xf>
    <xf numFmtId="0" fontId="18" fillId="3" borderId="4" xfId="2" applyFont="1" applyFill="1" applyBorder="1" applyAlignment="1">
      <alignment horizontal="left" vertical="center" wrapText="1"/>
    </xf>
    <xf numFmtId="0" fontId="18" fillId="3" borderId="6" xfId="2" applyFont="1" applyFill="1" applyBorder="1" applyAlignment="1">
      <alignment horizontal="left" vertical="center" wrapText="1"/>
    </xf>
    <xf numFmtId="0" fontId="16" fillId="7" borderId="1" xfId="2" applyFont="1" applyFill="1" applyBorder="1" applyAlignment="1">
      <alignment horizontal="left" vertical="center" wrapText="1"/>
    </xf>
    <xf numFmtId="0" fontId="16"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16" fillId="7" borderId="4" xfId="2" applyFont="1" applyFill="1" applyBorder="1" applyAlignment="1">
      <alignment horizontal="left" vertical="center" wrapText="1"/>
    </xf>
    <xf numFmtId="0" fontId="16" fillId="7" borderId="6" xfId="2" applyFont="1" applyFill="1" applyBorder="1" applyAlignment="1">
      <alignment horizontal="left" vertical="center" wrapText="1"/>
    </xf>
    <xf numFmtId="0" fontId="16" fillId="7" borderId="2" xfId="2" applyFont="1" applyFill="1" applyBorder="1" applyAlignment="1">
      <alignment horizontal="left" vertical="center" wrapText="1"/>
    </xf>
    <xf numFmtId="0" fontId="16" fillId="0" borderId="4"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2" xfId="0" applyFont="1" applyBorder="1" applyAlignment="1" applyProtection="1">
      <alignment horizontal="left" vertical="center" wrapText="1"/>
      <protection locked="0"/>
    </xf>
    <xf numFmtId="0" fontId="2" fillId="0" borderId="4" xfId="0"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7" fillId="0" borderId="0" xfId="19" applyBorder="1">
      <alignment horizontal="left" vertical="center" wrapText="1"/>
    </xf>
    <xf numFmtId="0" fontId="2" fillId="0" borderId="8" xfId="0" applyFont="1"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42" fillId="0" borderId="9" xfId="0" applyFont="1" applyBorder="1" applyAlignment="1">
      <alignment horizontal="left"/>
    </xf>
    <xf numFmtId="0" fontId="2" fillId="0" borderId="2" xfId="0" applyFont="1" applyBorder="1" applyAlignment="1" applyProtection="1">
      <alignment horizontal="center" vertical="center" wrapText="1"/>
      <protection locked="0"/>
    </xf>
    <xf numFmtId="0" fontId="60" fillId="2" borderId="13" xfId="2" applyFont="1" applyFill="1" applyBorder="1" applyAlignment="1" applyProtection="1">
      <alignment horizontal="center" vertical="center" wrapText="1"/>
      <protection locked="0"/>
    </xf>
    <xf numFmtId="0" fontId="60" fillId="2" borderId="14" xfId="2" applyFont="1" applyFill="1" applyBorder="1" applyAlignment="1" applyProtection="1">
      <alignment horizontal="center" vertical="center" wrapText="1"/>
      <protection locked="0"/>
    </xf>
    <xf numFmtId="0" fontId="60" fillId="2" borderId="15" xfId="2" applyFont="1" applyFill="1" applyBorder="1" applyAlignment="1" applyProtection="1">
      <alignment horizontal="center" vertical="center" wrapText="1"/>
      <protection locked="0"/>
    </xf>
    <xf numFmtId="0" fontId="60" fillId="2" borderId="16" xfId="2" applyFont="1" applyFill="1" applyBorder="1" applyAlignment="1" applyProtection="1">
      <alignment horizontal="center" vertical="center" wrapText="1"/>
      <protection locked="0"/>
    </xf>
    <xf numFmtId="0" fontId="60" fillId="2" borderId="17" xfId="2" applyFont="1" applyFill="1" applyBorder="1" applyAlignment="1" applyProtection="1">
      <alignment horizontal="center" vertical="center" wrapText="1"/>
      <protection locked="0"/>
    </xf>
    <xf numFmtId="0" fontId="60" fillId="2" borderId="18" xfId="2" applyFont="1" applyFill="1" applyBorder="1" applyAlignment="1" applyProtection="1">
      <alignment horizontal="center" vertical="center" wrapText="1"/>
      <protection locked="0"/>
    </xf>
    <xf numFmtId="0" fontId="16" fillId="7" borderId="19" xfId="2" applyFont="1" applyFill="1" applyBorder="1" applyAlignment="1">
      <alignment horizontal="left" vertical="center" wrapText="1"/>
    </xf>
    <xf numFmtId="0" fontId="16" fillId="7" borderId="20" xfId="2" applyFont="1" applyFill="1" applyBorder="1" applyAlignment="1">
      <alignment horizontal="left" vertical="center" wrapText="1"/>
    </xf>
    <xf numFmtId="3" fontId="16" fillId="7" borderId="1" xfId="2" applyNumberFormat="1" applyFont="1" applyFill="1" applyBorder="1" applyAlignment="1">
      <alignment horizontal="center" vertical="center" wrapText="1"/>
    </xf>
    <xf numFmtId="0" fontId="0" fillId="0" borderId="1" xfId="0" applyBorder="1" applyAlignment="1" applyProtection="1">
      <alignment horizontal="center"/>
      <protection locked="0"/>
    </xf>
    <xf numFmtId="0" fontId="2" fillId="0" borderId="1" xfId="0" applyFont="1" applyBorder="1" applyAlignment="1" applyProtection="1">
      <alignment horizontal="center"/>
      <protection locked="0"/>
    </xf>
    <xf numFmtId="0" fontId="0" fillId="0" borderId="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9"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25" xfId="0" applyBorder="1" applyAlignment="1" applyProtection="1">
      <alignment horizontal="left" vertical="top"/>
      <protection locked="0"/>
    </xf>
    <xf numFmtId="0" fontId="15" fillId="8" borderId="0" xfId="2" applyFont="1" applyFill="1" applyBorder="1" applyAlignment="1" applyProtection="1">
      <alignment horizontal="left" vertical="center" wrapText="1"/>
    </xf>
    <xf numFmtId="0" fontId="15" fillId="8" borderId="4" xfId="4" applyFont="1" applyFill="1" applyBorder="1" applyAlignment="1">
      <alignment horizontal="left" vertical="center"/>
    </xf>
    <xf numFmtId="0" fontId="15" fillId="8" borderId="6" xfId="4" applyFont="1" applyFill="1" applyBorder="1" applyAlignment="1">
      <alignment horizontal="left" vertical="center"/>
    </xf>
    <xf numFmtId="0" fontId="15" fillId="8" borderId="2" xfId="4" applyFont="1" applyFill="1" applyBorder="1" applyAlignment="1">
      <alignment horizontal="left" vertical="center"/>
    </xf>
    <xf numFmtId="3" fontId="18" fillId="6" borderId="3" xfId="3" applyNumberFormat="1" applyFont="1" applyFill="1" applyBorder="1" applyAlignment="1" applyProtection="1">
      <alignment horizontal="right" vertical="center" wrapText="1"/>
    </xf>
    <xf numFmtId="165" fontId="16" fillId="0" borderId="3" xfId="0" applyNumberFormat="1" applyFont="1" applyBorder="1" applyAlignment="1" applyProtection="1">
      <alignment horizontal="right"/>
    </xf>
    <xf numFmtId="0" fontId="15" fillId="8" borderId="0" xfId="3" applyFont="1" applyFill="1" applyAlignment="1" applyProtection="1">
      <alignment horizontal="left" vertical="center" wrapText="1"/>
    </xf>
    <xf numFmtId="49" fontId="18" fillId="6" borderId="1" xfId="3" applyNumberFormat="1" applyFont="1" applyFill="1" applyBorder="1" applyAlignment="1" applyProtection="1">
      <alignment horizontal="left" vertical="center" wrapText="1"/>
    </xf>
    <xf numFmtId="49" fontId="18" fillId="9" borderId="1" xfId="3" applyNumberFormat="1" applyFont="1" applyFill="1" applyBorder="1" applyAlignment="1" applyProtection="1">
      <alignment horizontal="left" vertical="center" wrapText="1"/>
    </xf>
    <xf numFmtId="0" fontId="16" fillId="0" borderId="1" xfId="0" applyFont="1" applyBorder="1" applyAlignment="1" applyProtection="1">
      <alignment horizontal="left" vertical="top"/>
    </xf>
    <xf numFmtId="3" fontId="16" fillId="0" borderId="3" xfId="0" applyNumberFormat="1" applyFont="1" applyBorder="1" applyAlignment="1" applyProtection="1">
      <alignment horizontal="right"/>
    </xf>
    <xf numFmtId="0" fontId="16" fillId="7" borderId="0" xfId="0" applyFont="1" applyFill="1" applyAlignment="1" applyProtection="1">
      <alignment horizontal="center" vertical="center"/>
      <protection locked="0"/>
    </xf>
    <xf numFmtId="165" fontId="18" fillId="9" borderId="3" xfId="3" applyNumberFormat="1" applyFont="1" applyFill="1" applyBorder="1" applyAlignment="1" applyProtection="1">
      <alignment horizontal="right" vertical="center" wrapText="1"/>
    </xf>
    <xf numFmtId="3" fontId="16" fillId="0" borderId="3" xfId="0" applyNumberFormat="1" applyFont="1" applyBorder="1" applyAlignment="1" applyProtection="1">
      <alignment horizontal="right"/>
      <protection locked="0"/>
    </xf>
    <xf numFmtId="164" fontId="16" fillId="0" borderId="3" xfId="3" applyNumberFormat="1" applyFont="1" applyFill="1" applyBorder="1" applyAlignment="1" applyProtection="1">
      <alignment horizontal="right" vertical="center" wrapText="1"/>
    </xf>
    <xf numFmtId="0" fontId="16" fillId="0" borderId="50" xfId="0" applyFont="1" applyFill="1" applyBorder="1" applyAlignment="1">
      <alignment vertical="top"/>
    </xf>
    <xf numFmtId="0" fontId="16" fillId="0" borderId="51" xfId="0" applyFont="1" applyFill="1" applyBorder="1" applyAlignment="1">
      <alignment vertical="top"/>
    </xf>
    <xf numFmtId="0" fontId="16" fillId="0" borderId="52" xfId="0" applyFont="1" applyFill="1" applyBorder="1" applyAlignment="1">
      <alignment vertical="top"/>
    </xf>
    <xf numFmtId="0" fontId="16" fillId="0" borderId="53" xfId="0" applyFont="1" applyFill="1" applyBorder="1" applyAlignment="1">
      <alignment vertical="top"/>
    </xf>
    <xf numFmtId="0" fontId="16" fillId="0" borderId="0" xfId="0" applyFont="1" applyFill="1" applyBorder="1" applyAlignment="1">
      <alignment vertical="top"/>
    </xf>
    <xf numFmtId="0" fontId="16" fillId="0" borderId="54" xfId="0" applyFont="1" applyFill="1" applyBorder="1" applyAlignment="1">
      <alignment vertical="top"/>
    </xf>
    <xf numFmtId="0" fontId="16" fillId="0" borderId="55" xfId="0" applyFont="1" applyFill="1" applyBorder="1" applyAlignment="1">
      <alignment vertical="top"/>
    </xf>
    <xf numFmtId="0" fontId="16" fillId="0" borderId="56" xfId="0" applyFont="1" applyFill="1" applyBorder="1" applyAlignment="1">
      <alignment vertical="top"/>
    </xf>
    <xf numFmtId="0" fontId="16" fillId="0" borderId="57" xfId="0" applyFont="1" applyFill="1" applyBorder="1" applyAlignment="1">
      <alignment vertical="top"/>
    </xf>
    <xf numFmtId="0" fontId="16" fillId="0" borderId="50" xfId="0" applyFont="1" applyBorder="1" applyAlignment="1">
      <alignment vertical="top"/>
    </xf>
    <xf numFmtId="0" fontId="16" fillId="0" borderId="51" xfId="0" applyFont="1" applyBorder="1" applyAlignment="1">
      <alignment vertical="top"/>
    </xf>
    <xf numFmtId="0" fontId="16" fillId="0" borderId="52" xfId="0" applyFont="1" applyBorder="1" applyAlignment="1">
      <alignment vertical="top"/>
    </xf>
    <xf numFmtId="0" fontId="16" fillId="0" borderId="53" xfId="0" applyFont="1" applyBorder="1" applyAlignment="1">
      <alignment vertical="top"/>
    </xf>
    <xf numFmtId="0" fontId="16" fillId="0" borderId="0" xfId="0" applyFont="1" applyBorder="1" applyAlignment="1">
      <alignment vertical="top"/>
    </xf>
    <xf numFmtId="0" fontId="16" fillId="0" borderId="54" xfId="0" applyFont="1" applyBorder="1" applyAlignment="1">
      <alignment vertical="top"/>
    </xf>
    <xf numFmtId="0" fontId="16" fillId="0" borderId="55" xfId="0" applyFont="1" applyBorder="1" applyAlignment="1">
      <alignment vertical="top"/>
    </xf>
    <xf numFmtId="0" fontId="16" fillId="0" borderId="56" xfId="0" applyFont="1" applyBorder="1" applyAlignment="1">
      <alignment vertical="top"/>
    </xf>
    <xf numFmtId="0" fontId="16" fillId="0" borderId="57" xfId="0" applyFont="1" applyBorder="1" applyAlignment="1">
      <alignment vertical="top"/>
    </xf>
    <xf numFmtId="0" fontId="18" fillId="0" borderId="1" xfId="2" applyFont="1" applyFill="1" applyBorder="1" applyAlignment="1">
      <alignment horizontal="left" vertical="center" wrapText="1"/>
    </xf>
    <xf numFmtId="0" fontId="18" fillId="0" borderId="4" xfId="2" applyFont="1" applyFill="1" applyBorder="1" applyAlignment="1">
      <alignment horizontal="left" vertical="center" wrapText="1"/>
    </xf>
    <xf numFmtId="0" fontId="15" fillId="8" borderId="0" xfId="3" applyFont="1" applyFill="1" applyAlignment="1">
      <alignment horizontal="left" vertical="center" wrapText="1"/>
    </xf>
    <xf numFmtId="0" fontId="16" fillId="0" borderId="42" xfId="0" applyFont="1" applyFill="1" applyBorder="1" applyAlignment="1">
      <alignment vertical="top"/>
    </xf>
    <xf numFmtId="0" fontId="16" fillId="0" borderId="43" xfId="0" applyFont="1" applyFill="1" applyBorder="1" applyAlignment="1">
      <alignment vertical="top"/>
    </xf>
    <xf numFmtId="0" fontId="16" fillId="0" borderId="44" xfId="0" applyFont="1" applyFill="1" applyBorder="1" applyAlignment="1">
      <alignment vertical="top"/>
    </xf>
    <xf numFmtId="0" fontId="16" fillId="0" borderId="45" xfId="0" applyFont="1" applyFill="1" applyBorder="1" applyAlignment="1">
      <alignment vertical="top"/>
    </xf>
    <xf numFmtId="0" fontId="16" fillId="0" borderId="27" xfId="0" applyFont="1" applyFill="1" applyBorder="1" applyAlignment="1">
      <alignment vertical="top"/>
    </xf>
    <xf numFmtId="0" fontId="16" fillId="0" borderId="46" xfId="0" applyFont="1" applyFill="1" applyBorder="1" applyAlignment="1">
      <alignment vertical="top"/>
    </xf>
    <xf numFmtId="0" fontId="16" fillId="0" borderId="47" xfId="0" applyFont="1" applyFill="1" applyBorder="1" applyAlignment="1">
      <alignment vertical="top"/>
    </xf>
    <xf numFmtId="0" fontId="16" fillId="0" borderId="48" xfId="0" applyFont="1" applyFill="1" applyBorder="1" applyAlignment="1">
      <alignment vertical="top"/>
    </xf>
    <xf numFmtId="0" fontId="16" fillId="0" borderId="49" xfId="0" applyFont="1" applyFill="1" applyBorder="1" applyAlignment="1">
      <alignment vertical="top"/>
    </xf>
    <xf numFmtId="0" fontId="18" fillId="9" borderId="26" xfId="4" applyFont="1" applyFill="1" applyBorder="1" applyAlignment="1">
      <alignment horizontal="center" vertical="center" wrapText="1"/>
    </xf>
    <xf numFmtId="0" fontId="18" fillId="9" borderId="0" xfId="4" applyFont="1" applyFill="1" applyBorder="1" applyAlignment="1">
      <alignment horizontal="center" vertical="center" wrapText="1"/>
    </xf>
    <xf numFmtId="3" fontId="18" fillId="6" borderId="1" xfId="3" applyNumberFormat="1" applyFont="1" applyFill="1" applyBorder="1" applyAlignment="1" applyProtection="1">
      <alignment horizontal="right" vertical="center" wrapText="1"/>
    </xf>
    <xf numFmtId="3" fontId="16" fillId="0" borderId="1" xfId="3" applyNumberFormat="1" applyFont="1" applyFill="1" applyBorder="1" applyAlignment="1" applyProtection="1">
      <alignment horizontal="right" vertical="center" wrapText="1"/>
    </xf>
    <xf numFmtId="165" fontId="18" fillId="9" borderId="1" xfId="3" applyNumberFormat="1" applyFont="1" applyFill="1" applyBorder="1" applyAlignment="1" applyProtection="1">
      <alignment horizontal="right" vertical="center" wrapText="1"/>
    </xf>
    <xf numFmtId="3" fontId="16" fillId="0" borderId="1" xfId="0" applyNumberFormat="1" applyFont="1" applyBorder="1" applyAlignment="1" applyProtection="1">
      <alignment horizontal="right"/>
    </xf>
    <xf numFmtId="164" fontId="16" fillId="0" borderId="1" xfId="3" applyNumberFormat="1" applyFont="1" applyFill="1" applyBorder="1" applyAlignment="1" applyProtection="1">
      <alignment horizontal="right" vertical="center" wrapText="1"/>
    </xf>
    <xf numFmtId="164" fontId="18" fillId="7" borderId="1" xfId="3" applyNumberFormat="1" applyFont="1" applyFill="1" applyBorder="1" applyAlignment="1" applyProtection="1">
      <alignment horizontal="right" vertical="center" wrapText="1"/>
    </xf>
    <xf numFmtId="0" fontId="18" fillId="7" borderId="38" xfId="2" applyFont="1" applyFill="1" applyBorder="1" applyAlignment="1">
      <alignment horizontal="center" vertical="center" wrapText="1"/>
    </xf>
    <xf numFmtId="0" fontId="17" fillId="9" borderId="21" xfId="2" applyFont="1" applyFill="1" applyBorder="1" applyAlignment="1">
      <alignment horizontal="left" vertical="center" wrapText="1"/>
    </xf>
    <xf numFmtId="0" fontId="17" fillId="9" borderId="22" xfId="2" applyFont="1" applyFill="1" applyBorder="1" applyAlignment="1">
      <alignment horizontal="left" vertical="center" wrapText="1"/>
    </xf>
    <xf numFmtId="0" fontId="17" fillId="9" borderId="23" xfId="2" applyFont="1" applyFill="1" applyBorder="1" applyAlignment="1">
      <alignment horizontal="left" vertical="center" wrapText="1"/>
    </xf>
    <xf numFmtId="0" fontId="17" fillId="9" borderId="0" xfId="2" applyFont="1" applyFill="1" applyBorder="1" applyAlignment="1">
      <alignment horizontal="left" vertical="center" wrapText="1"/>
    </xf>
    <xf numFmtId="0" fontId="15" fillId="8" borderId="0" xfId="2" applyFont="1" applyFill="1" applyBorder="1" applyAlignment="1" applyProtection="1">
      <alignment horizontal="center" vertical="center" wrapText="1"/>
    </xf>
    <xf numFmtId="0" fontId="7" fillId="8" borderId="0" xfId="5" applyFont="1" applyFill="1" applyBorder="1" applyAlignment="1">
      <alignment horizontal="left" vertical="center" wrapText="1"/>
    </xf>
    <xf numFmtId="0" fontId="51" fillId="9" borderId="3" xfId="5" applyFont="1" applyFill="1" applyBorder="1" applyAlignment="1">
      <alignment horizontal="left" vertical="center" wrapText="1"/>
    </xf>
    <xf numFmtId="3" fontId="2" fillId="0" borderId="3" xfId="0" applyNumberFormat="1" applyFont="1" applyBorder="1" applyAlignment="1">
      <alignment horizontal="center"/>
    </xf>
    <xf numFmtId="0" fontId="0" fillId="0" borderId="0" xfId="0" applyAlignment="1" applyProtection="1">
      <alignment vertical="top" wrapText="1"/>
      <protection locked="0"/>
    </xf>
    <xf numFmtId="168" fontId="51" fillId="0" borderId="3" xfId="5" applyNumberFormat="1" applyFont="1" applyBorder="1" applyAlignment="1">
      <alignment horizontal="center" vertical="center" wrapText="1"/>
    </xf>
    <xf numFmtId="3" fontId="51" fillId="0" borderId="3" xfId="0" applyNumberFormat="1" applyFont="1" applyBorder="1" applyAlignment="1">
      <alignment horizontal="center"/>
    </xf>
    <xf numFmtId="0" fontId="8" fillId="10" borderId="21" xfId="5" applyFont="1" applyFill="1" applyBorder="1" applyAlignment="1">
      <alignment horizontal="left" vertical="center" wrapText="1"/>
    </xf>
    <xf numFmtId="0" fontId="8" fillId="10" borderId="22" xfId="5" applyFont="1" applyFill="1" applyBorder="1" applyAlignment="1">
      <alignment horizontal="left" vertical="center" wrapText="1"/>
    </xf>
    <xf numFmtId="0" fontId="8" fillId="10" borderId="23" xfId="5" applyFont="1" applyFill="1" applyBorder="1" applyAlignment="1">
      <alignment horizontal="left" vertical="center" wrapText="1"/>
    </xf>
    <xf numFmtId="3" fontId="16" fillId="0" borderId="1" xfId="0" applyNumberFormat="1" applyFont="1" applyBorder="1" applyProtection="1">
      <protection hidden="1"/>
    </xf>
    <xf numFmtId="0" fontId="40" fillId="0" borderId="0" xfId="0" applyFont="1" applyProtection="1"/>
  </cellXfs>
  <cellStyles count="21">
    <cellStyle name="Lien hypertexte" xfId="1" builtinId="8" customBuilti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8" builtinId="9" hidden="1"/>
    <cellStyle name="Normal" xfId="0" builtinId="0"/>
    <cellStyle name="Normal 2" xfId="7" xr:uid="{00000000-0005-0000-0000-00000C000000}"/>
    <cellStyle name="Normal 2 2" xfId="20" xr:uid="{00000000-0005-0000-0000-00000D000000}"/>
    <cellStyle name="Normal 3" xfId="17" xr:uid="{00000000-0005-0000-0000-00000E000000}"/>
    <cellStyle name="Normal_Bilan initial" xfId="2" xr:uid="{00000000-0005-0000-0000-00000F000000}"/>
    <cellStyle name="Normal_Charges d'exploitation" xfId="3" xr:uid="{00000000-0005-0000-0000-000010000000}"/>
    <cellStyle name="Normal_Plan_investissements" xfId="4" xr:uid="{00000000-0005-0000-0000-000011000000}"/>
    <cellStyle name="Normal_Sheet6" xfId="5" xr:uid="{00000000-0005-0000-0000-000012000000}"/>
    <cellStyle name="Pourcentage" xfId="6" builtinId="5"/>
    <cellStyle name="TitreBP" xfId="19" xr:uid="{00000000-0005-0000-0000-000014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433B54"/>
      <rgbColor rgb="00FFFFFF"/>
      <rgbColor rgb="00B3ABC5"/>
      <rgbColor rgb="00D3B6D8"/>
      <rgbColor rgb="00F6B065"/>
      <rgbColor rgb="00333333"/>
      <rgbColor rgb="00B2C2D1"/>
      <rgbColor rgb="009AC8D9"/>
      <rgbColor rgb="008C80A6"/>
      <rgbColor rgb="00A86DB1"/>
      <rgbColor rgb="00FF9933"/>
      <rgbColor rgb="00C23841"/>
      <rgbColor rgb="00FFDD7D"/>
      <rgbColor rgb="0089D5F1"/>
      <rgbColor rgb="00C3DDB8"/>
      <rgbColor rgb="0088BA71"/>
      <rgbColor rgb="00255B89"/>
      <rgbColor rgb="00AAA19A"/>
      <rgbColor rgb="00DCEBEF"/>
      <rgbColor rgb="0056A2B9"/>
      <rgbColor rgb="00C8C1BC"/>
      <rgbColor rgb="00003868"/>
      <rgbColor rgb="0091C8D9"/>
      <rgbColor rgb="00166C86"/>
      <rgbColor rgb="00F5F1EF"/>
      <rgbColor rgb="00AAA19A"/>
      <rgbColor rgb="009D0E2D"/>
      <rgbColor rgb="006CCBED"/>
      <rgbColor rgb="0092499E"/>
      <rgbColor rgb="00F49C3E"/>
      <rgbColor rgb="006AA94E"/>
      <rgbColor rgb="00FFC726"/>
      <rgbColor rgb="00B816BC"/>
      <rgbColor rgb="00FFFFFF"/>
      <rgbColor rgb="00FFFFFF"/>
      <rgbColor rgb="00000000"/>
      <rgbColor rgb="00FFFFFF"/>
      <rgbColor rgb="00DDE4E9"/>
      <rgbColor rgb="00FFFFFF"/>
      <rgbColor rgb="00F5F1EF"/>
      <rgbColor rgb="00F8C48B"/>
      <rgbColor rgb="00A7E0E0"/>
      <rgbColor rgb="00DE7572"/>
      <rgbColor rgb="00E3DFDB"/>
      <rgbColor rgb="00C8C1BC"/>
      <rgbColor rgb="00AAA19A"/>
      <rgbColor rgb="00FFD251"/>
      <rgbColor rgb="00A6CB95"/>
      <rgbColor rgb="006CCBED"/>
      <rgbColor rgb="00BE92C5"/>
      <rgbColor rgb="0092499E"/>
      <rgbColor rgb="009D0E2D"/>
      <rgbColor rgb="0091867E"/>
      <rgbColor rgb="00FFE9A8"/>
      <rgbColor rgb="00FFC726"/>
      <rgbColor rgb="006AA94E"/>
    </indexedColors>
    <mruColors>
      <color rgb="FFAAA19A"/>
      <color rgb="FFC8C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OME"/></Relationships>
</file>

<file path=xl/drawings/_rels/drawing10.xml.rels><?xml version="1.0" encoding="UTF-8" standalone="yes"?>
<Relationships xmlns="http://schemas.openxmlformats.org/package/2006/relationships"><Relationship Id="rId3" Type="http://schemas.openxmlformats.org/officeDocument/2006/relationships/hyperlink" Target="#BilanI"/><Relationship Id="rId2" Type="http://schemas.openxmlformats.org/officeDocument/2006/relationships/image" Target="../media/image1.png"/><Relationship Id="rId1" Type="http://schemas.openxmlformats.org/officeDocument/2006/relationships/hyperlink" Target="#HOME"/><Relationship Id="rId4" Type="http://schemas.openxmlformats.org/officeDocument/2006/relationships/image" Target="../media/image1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Relationships>
</file>

<file path=xl/drawings/_rels/drawing13.xml.rels><?xml version="1.0" encoding="UTF-8" standalone="yes"?>
<Relationships xmlns="http://schemas.openxmlformats.org/package/2006/relationships"><Relationship Id="rId3" Type="http://schemas.openxmlformats.org/officeDocument/2006/relationships/hyperlink" Target="#'Compte d''exploitation'!A1"/><Relationship Id="rId2" Type="http://schemas.openxmlformats.org/officeDocument/2006/relationships/image" Target="../media/image1.png"/><Relationship Id="rId1" Type="http://schemas.openxmlformats.org/officeDocument/2006/relationships/hyperlink" Target="#HOME"/><Relationship Id="rId4" Type="http://schemas.openxmlformats.org/officeDocument/2006/relationships/image" Target="../media/image1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1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Relationships>
</file>

<file path=xl/drawings/drawing1.xml><?xml version="1.0" encoding="utf-8"?>
<xdr:wsDr xmlns:xdr="http://schemas.openxmlformats.org/drawingml/2006/spreadsheetDrawing" xmlns:a="http://schemas.openxmlformats.org/drawingml/2006/main">
  <xdr:twoCellAnchor>
    <xdr:from>
      <xdr:col>9</xdr:col>
      <xdr:colOff>123825</xdr:colOff>
      <xdr:row>0</xdr:row>
      <xdr:rowOff>66675</xdr:rowOff>
    </xdr:from>
    <xdr:to>
      <xdr:col>9</xdr:col>
      <xdr:colOff>523875</xdr:colOff>
      <xdr:row>0</xdr:row>
      <xdr:rowOff>466725</xdr:rowOff>
    </xdr:to>
    <xdr:pic>
      <xdr:nvPicPr>
        <xdr:cNvPr id="37889" name="Picture 1">
          <a:hlinkClick xmlns:r="http://schemas.openxmlformats.org/officeDocument/2006/relationships" r:id="rId1"/>
          <a:extLst>
            <a:ext uri="{FF2B5EF4-FFF2-40B4-BE49-F238E27FC236}">
              <a16:creationId xmlns:a16="http://schemas.microsoft.com/office/drawing/2014/main" id="{00000000-0008-0000-0100-0000019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6085354" y="66675"/>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144780</xdr:colOff>
      <xdr:row>0</xdr:row>
      <xdr:rowOff>464820</xdr:rowOff>
    </xdr:from>
    <xdr:to>
      <xdr:col>6</xdr:col>
      <xdr:colOff>159597</xdr:colOff>
      <xdr:row>3</xdr:row>
      <xdr:rowOff>129540</xdr:rowOff>
    </xdr:to>
    <xdr:pic>
      <xdr:nvPicPr>
        <xdr:cNvPr id="4" name="Image 3">
          <a:extLst>
            <a:ext uri="{FF2B5EF4-FFF2-40B4-BE49-F238E27FC236}">
              <a16:creationId xmlns:a16="http://schemas.microsoft.com/office/drawing/2014/main" id="{0ECD50F2-2638-3E6D-BC2B-E4252687A1DB}"/>
            </a:ext>
          </a:extLst>
        </xdr:cNvPr>
        <xdr:cNvPicPr>
          <a:picLocks noChangeAspect="1"/>
        </xdr:cNvPicPr>
      </xdr:nvPicPr>
      <xdr:blipFill>
        <a:blip xmlns:r="http://schemas.openxmlformats.org/officeDocument/2006/relationships" r:embed="rId3"/>
        <a:stretch>
          <a:fillRect/>
        </a:stretch>
      </xdr:blipFill>
      <xdr:spPr>
        <a:xfrm>
          <a:off x="144780" y="464820"/>
          <a:ext cx="3901017" cy="7239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133350</xdr:colOff>
      <xdr:row>0</xdr:row>
      <xdr:rowOff>19050</xdr:rowOff>
    </xdr:from>
    <xdr:to>
      <xdr:col>7</xdr:col>
      <xdr:colOff>533400</xdr:colOff>
      <xdr:row>0</xdr:row>
      <xdr:rowOff>419100</xdr:rowOff>
    </xdr:to>
    <xdr:pic>
      <xdr:nvPicPr>
        <xdr:cNvPr id="43010" name="Picture 2">
          <a:hlinkClick xmlns:r="http://schemas.openxmlformats.org/officeDocument/2006/relationships" r:id="rId1"/>
          <a:extLst>
            <a:ext uri="{FF2B5EF4-FFF2-40B4-BE49-F238E27FC236}">
              <a16:creationId xmlns:a16="http://schemas.microsoft.com/office/drawing/2014/main" id="{00000000-0008-0000-0B00-000002A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9696450" y="19050"/>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220980</xdr:colOff>
      <xdr:row>0</xdr:row>
      <xdr:rowOff>19050</xdr:rowOff>
    </xdr:from>
    <xdr:to>
      <xdr:col>7</xdr:col>
      <xdr:colOff>1455</xdr:colOff>
      <xdr:row>0</xdr:row>
      <xdr:rowOff>418650</xdr:rowOff>
    </xdr:to>
    <xdr:pic>
      <xdr:nvPicPr>
        <xdr:cNvPr id="2" name="Image 1">
          <a:hlinkClick xmlns:r="http://schemas.openxmlformats.org/officeDocument/2006/relationships" r:id="rId3"/>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159240" y="19050"/>
          <a:ext cx="399600" cy="3996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133350</xdr:colOff>
      <xdr:row>0</xdr:row>
      <xdr:rowOff>9525</xdr:rowOff>
    </xdr:from>
    <xdr:to>
      <xdr:col>6</xdr:col>
      <xdr:colOff>533400</xdr:colOff>
      <xdr:row>0</xdr:row>
      <xdr:rowOff>409575</xdr:rowOff>
    </xdr:to>
    <xdr:pic>
      <xdr:nvPicPr>
        <xdr:cNvPr id="44033" name="Picture 1">
          <a:hlinkClick xmlns:r="http://schemas.openxmlformats.org/officeDocument/2006/relationships" r:id="rId1"/>
          <a:extLst>
            <a:ext uri="{FF2B5EF4-FFF2-40B4-BE49-F238E27FC236}">
              <a16:creationId xmlns:a16="http://schemas.microsoft.com/office/drawing/2014/main" id="{00000000-0008-0000-0C00-000001A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9147810" y="9525"/>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8</xdr:col>
      <xdr:colOff>123825</xdr:colOff>
      <xdr:row>0</xdr:row>
      <xdr:rowOff>38100</xdr:rowOff>
    </xdr:from>
    <xdr:to>
      <xdr:col>8</xdr:col>
      <xdr:colOff>523875</xdr:colOff>
      <xdr:row>0</xdr:row>
      <xdr:rowOff>438150</xdr:rowOff>
    </xdr:to>
    <xdr:pic>
      <xdr:nvPicPr>
        <xdr:cNvPr id="45057" name="Picture 1">
          <a:hlinkClick xmlns:r="http://schemas.openxmlformats.org/officeDocument/2006/relationships" r:id="rId1"/>
          <a:extLst>
            <a:ext uri="{FF2B5EF4-FFF2-40B4-BE49-F238E27FC236}">
              <a16:creationId xmlns:a16="http://schemas.microsoft.com/office/drawing/2014/main" id="{00000000-0008-0000-0D00-000001B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9932289" y="38100"/>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6</xdr:col>
      <xdr:colOff>95250</xdr:colOff>
      <xdr:row>0</xdr:row>
      <xdr:rowOff>9525</xdr:rowOff>
    </xdr:from>
    <xdr:to>
      <xdr:col>6</xdr:col>
      <xdr:colOff>495300</xdr:colOff>
      <xdr:row>0</xdr:row>
      <xdr:rowOff>409575</xdr:rowOff>
    </xdr:to>
    <xdr:pic>
      <xdr:nvPicPr>
        <xdr:cNvPr id="46081" name="Picture 1">
          <a:hlinkClick xmlns:r="http://schemas.openxmlformats.org/officeDocument/2006/relationships" r:id="rId1"/>
          <a:extLst>
            <a:ext uri="{FF2B5EF4-FFF2-40B4-BE49-F238E27FC236}">
              <a16:creationId xmlns:a16="http://schemas.microsoft.com/office/drawing/2014/main" id="{00000000-0008-0000-0E00-000001B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6521450" y="9525"/>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211664</xdr:colOff>
      <xdr:row>0</xdr:row>
      <xdr:rowOff>9525</xdr:rowOff>
    </xdr:from>
    <xdr:to>
      <xdr:col>6</xdr:col>
      <xdr:colOff>1664</xdr:colOff>
      <xdr:row>0</xdr:row>
      <xdr:rowOff>409125</xdr:rowOff>
    </xdr:to>
    <xdr:pic>
      <xdr:nvPicPr>
        <xdr:cNvPr id="4" name="Image 3">
          <a:hlinkClick xmlns:r="http://schemas.openxmlformats.org/officeDocument/2006/relationships" r:id="rId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011331" y="9525"/>
          <a:ext cx="399600" cy="3996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8</xdr:col>
      <xdr:colOff>123825</xdr:colOff>
      <xdr:row>0</xdr:row>
      <xdr:rowOff>47625</xdr:rowOff>
    </xdr:from>
    <xdr:to>
      <xdr:col>8</xdr:col>
      <xdr:colOff>523875</xdr:colOff>
      <xdr:row>0</xdr:row>
      <xdr:rowOff>447675</xdr:rowOff>
    </xdr:to>
    <xdr:pic>
      <xdr:nvPicPr>
        <xdr:cNvPr id="47105" name="Picture 1">
          <a:hlinkClick xmlns:r="http://schemas.openxmlformats.org/officeDocument/2006/relationships" r:id="rId1"/>
          <a:extLst>
            <a:ext uri="{FF2B5EF4-FFF2-40B4-BE49-F238E27FC236}">
              <a16:creationId xmlns:a16="http://schemas.microsoft.com/office/drawing/2014/main" id="{00000000-0008-0000-0F00-000001B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1226165" y="47625"/>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7</xdr:col>
      <xdr:colOff>133350</xdr:colOff>
      <xdr:row>0</xdr:row>
      <xdr:rowOff>38100</xdr:rowOff>
    </xdr:from>
    <xdr:to>
      <xdr:col>7</xdr:col>
      <xdr:colOff>533400</xdr:colOff>
      <xdr:row>0</xdr:row>
      <xdr:rowOff>438150</xdr:rowOff>
    </xdr:to>
    <xdr:pic>
      <xdr:nvPicPr>
        <xdr:cNvPr id="48129" name="Picture 1">
          <a:hlinkClick xmlns:r="http://schemas.openxmlformats.org/officeDocument/2006/relationships" r:id="rId1"/>
          <a:extLst>
            <a:ext uri="{FF2B5EF4-FFF2-40B4-BE49-F238E27FC236}">
              <a16:creationId xmlns:a16="http://schemas.microsoft.com/office/drawing/2014/main" id="{00000000-0008-0000-1000-000001B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9117330" y="38100"/>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114300</xdr:colOff>
      <xdr:row>0</xdr:row>
      <xdr:rowOff>38100</xdr:rowOff>
    </xdr:from>
    <xdr:to>
      <xdr:col>2</xdr:col>
      <xdr:colOff>514350</xdr:colOff>
      <xdr:row>0</xdr:row>
      <xdr:rowOff>438150</xdr:rowOff>
    </xdr:to>
    <xdr:pic>
      <xdr:nvPicPr>
        <xdr:cNvPr id="49155" name="Picture 3">
          <a:hlinkClick xmlns:r="http://schemas.openxmlformats.org/officeDocument/2006/relationships" r:id="rId1"/>
          <a:extLst>
            <a:ext uri="{FF2B5EF4-FFF2-40B4-BE49-F238E27FC236}">
              <a16:creationId xmlns:a16="http://schemas.microsoft.com/office/drawing/2014/main" id="{00000000-0008-0000-1100-000003C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0645140" y="38100"/>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123825</xdr:colOff>
      <xdr:row>0</xdr:row>
      <xdr:rowOff>28575</xdr:rowOff>
    </xdr:from>
    <xdr:to>
      <xdr:col>3</xdr:col>
      <xdr:colOff>523875</xdr:colOff>
      <xdr:row>0</xdr:row>
      <xdr:rowOff>428625</xdr:rowOff>
    </xdr:to>
    <xdr:pic>
      <xdr:nvPicPr>
        <xdr:cNvPr id="50177" name="Picture 1">
          <a:hlinkClick xmlns:r="http://schemas.openxmlformats.org/officeDocument/2006/relationships" r:id="rId1"/>
          <a:extLst>
            <a:ext uri="{FF2B5EF4-FFF2-40B4-BE49-F238E27FC236}">
              <a16:creationId xmlns:a16="http://schemas.microsoft.com/office/drawing/2014/main" id="{00000000-0008-0000-1300-000001C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5991225" y="28575"/>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699345</xdr:colOff>
      <xdr:row>6</xdr:row>
      <xdr:rowOff>55877</xdr:rowOff>
    </xdr:from>
    <xdr:to>
      <xdr:col>3</xdr:col>
      <xdr:colOff>635846</xdr:colOff>
      <xdr:row>11</xdr:row>
      <xdr:rowOff>55031</xdr:rowOff>
    </xdr:to>
    <xdr:pic>
      <xdr:nvPicPr>
        <xdr:cNvPr id="15" name="Image 14">
          <a:extLst>
            <a:ext uri="{FF2B5EF4-FFF2-40B4-BE49-F238E27FC236}">
              <a16:creationId xmlns:a16="http://schemas.microsoft.com/office/drawing/2014/main" id="{00000000-0008-0000-0300-00000F000000}"/>
            </a:ext>
          </a:extLst>
        </xdr:cNvPr>
        <xdr:cNvPicPr>
          <a:picLocks noChangeAspect="1"/>
        </xdr:cNvPicPr>
      </xdr:nvPicPr>
      <xdr:blipFill rotWithShape="1">
        <a:blip xmlns:r="http://schemas.openxmlformats.org/officeDocument/2006/relationships" r:embed="rId1"/>
        <a:srcRect l="17957" r="14359"/>
        <a:stretch/>
      </xdr:blipFill>
      <xdr:spPr>
        <a:xfrm>
          <a:off x="2909145" y="1224277"/>
          <a:ext cx="736601" cy="951654"/>
        </a:xfrm>
        <a:prstGeom prst="rect">
          <a:avLst/>
        </a:prstGeom>
      </xdr:spPr>
    </xdr:pic>
    <xdr:clientData/>
  </xdr:twoCellAnchor>
  <xdr:twoCellAnchor>
    <xdr:from>
      <xdr:col>21</xdr:col>
      <xdr:colOff>33868</xdr:colOff>
      <xdr:row>2</xdr:row>
      <xdr:rowOff>135466</xdr:rowOff>
    </xdr:from>
    <xdr:to>
      <xdr:col>23</xdr:col>
      <xdr:colOff>338668</xdr:colOff>
      <xdr:row>11</xdr:row>
      <xdr:rowOff>135466</xdr:rowOff>
    </xdr:to>
    <xdr:sp macro="" textlink="">
      <xdr:nvSpPr>
        <xdr:cNvPr id="2" name="Rectangle 1">
          <a:extLst>
            <a:ext uri="{FF2B5EF4-FFF2-40B4-BE49-F238E27FC236}">
              <a16:creationId xmlns:a16="http://schemas.microsoft.com/office/drawing/2014/main" id="{00000000-0008-0000-0300-000002000000}"/>
            </a:ext>
          </a:extLst>
        </xdr:cNvPr>
        <xdr:cNvSpPr/>
      </xdr:nvSpPr>
      <xdr:spPr>
        <a:xfrm>
          <a:off x="16239068" y="516466"/>
          <a:ext cx="1778000" cy="17399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tx2">
                  <a:lumMod val="75000"/>
                </a:schemeClr>
              </a:solidFill>
              <a:latin typeface="Arial"/>
              <a:cs typeface="Arial"/>
            </a:rPr>
            <a:t>Ceci est un</a:t>
          </a:r>
          <a:r>
            <a:rPr lang="en-US" sz="1400" baseline="0">
              <a:solidFill>
                <a:schemeClr val="tx2">
                  <a:lumMod val="75000"/>
                </a:schemeClr>
              </a:solidFill>
              <a:latin typeface="Arial"/>
              <a:cs typeface="Arial"/>
            </a:rPr>
            <a:t> post it! Copier et coller le directement dans le canevas.</a:t>
          </a:r>
          <a:endParaRPr lang="en-US" sz="1400">
            <a:solidFill>
              <a:schemeClr val="tx2">
                <a:lumMod val="75000"/>
              </a:schemeClr>
            </a:solidFill>
            <a:latin typeface="Arial"/>
            <a:cs typeface="Arial"/>
          </a:endParaRPr>
        </a:p>
      </xdr:txBody>
    </xdr:sp>
    <xdr:clientData/>
  </xdr:twoCellAnchor>
  <xdr:twoCellAnchor>
    <xdr:from>
      <xdr:col>21</xdr:col>
      <xdr:colOff>33868</xdr:colOff>
      <xdr:row>13</xdr:row>
      <xdr:rowOff>169332</xdr:rowOff>
    </xdr:from>
    <xdr:to>
      <xdr:col>23</xdr:col>
      <xdr:colOff>338668</xdr:colOff>
      <xdr:row>22</xdr:row>
      <xdr:rowOff>169332</xdr:rowOff>
    </xdr:to>
    <xdr:sp macro="" textlink="">
      <xdr:nvSpPr>
        <xdr:cNvPr id="3" name="Rectangle 2">
          <a:extLst>
            <a:ext uri="{FF2B5EF4-FFF2-40B4-BE49-F238E27FC236}">
              <a16:creationId xmlns:a16="http://schemas.microsoft.com/office/drawing/2014/main" id="{00000000-0008-0000-0300-000003000000}"/>
            </a:ext>
          </a:extLst>
        </xdr:cNvPr>
        <xdr:cNvSpPr/>
      </xdr:nvSpPr>
      <xdr:spPr>
        <a:xfrm>
          <a:off x="16239068" y="2671232"/>
          <a:ext cx="1778000" cy="1714500"/>
        </a:xfrm>
        <a:prstGeom prst="rect">
          <a:avLst/>
        </a:prstGeom>
        <a:solidFill>
          <a:srgbClr val="FF66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bg1"/>
              </a:solidFill>
              <a:latin typeface="Arial"/>
              <a:cs typeface="Arial"/>
            </a:rPr>
            <a:t>Ceci est un post it! Copier et coller le directement dans le canevas.</a:t>
          </a:r>
        </a:p>
      </xdr:txBody>
    </xdr:sp>
    <xdr:clientData/>
  </xdr:twoCellAnchor>
  <xdr:twoCellAnchor>
    <xdr:from>
      <xdr:col>21</xdr:col>
      <xdr:colOff>33868</xdr:colOff>
      <xdr:row>37</xdr:row>
      <xdr:rowOff>50799</xdr:rowOff>
    </xdr:from>
    <xdr:to>
      <xdr:col>23</xdr:col>
      <xdr:colOff>338668</xdr:colOff>
      <xdr:row>46</xdr:row>
      <xdr:rowOff>50799</xdr:rowOff>
    </xdr:to>
    <xdr:sp macro="" textlink="">
      <xdr:nvSpPr>
        <xdr:cNvPr id="4" name="Rectangle 3">
          <a:extLst>
            <a:ext uri="{FF2B5EF4-FFF2-40B4-BE49-F238E27FC236}">
              <a16:creationId xmlns:a16="http://schemas.microsoft.com/office/drawing/2014/main" id="{00000000-0008-0000-0300-000004000000}"/>
            </a:ext>
          </a:extLst>
        </xdr:cNvPr>
        <xdr:cNvSpPr/>
      </xdr:nvSpPr>
      <xdr:spPr>
        <a:xfrm>
          <a:off x="16239068" y="7124699"/>
          <a:ext cx="1778000" cy="1714500"/>
        </a:xfrm>
        <a:prstGeom prst="rect">
          <a:avLst/>
        </a:prstGeom>
        <a:solidFill>
          <a:schemeClr val="bg2">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latin typeface="Arial"/>
              <a:cs typeface="Arial"/>
            </a:rPr>
            <a:t>Ceci est un post it! Copier et coller le directement dans le canevas.</a:t>
          </a:r>
        </a:p>
      </xdr:txBody>
    </xdr:sp>
    <xdr:clientData/>
  </xdr:twoCellAnchor>
  <xdr:twoCellAnchor>
    <xdr:from>
      <xdr:col>21</xdr:col>
      <xdr:colOff>33868</xdr:colOff>
      <xdr:row>25</xdr:row>
      <xdr:rowOff>84666</xdr:rowOff>
    </xdr:from>
    <xdr:to>
      <xdr:col>23</xdr:col>
      <xdr:colOff>338668</xdr:colOff>
      <xdr:row>34</xdr:row>
      <xdr:rowOff>84666</xdr:rowOff>
    </xdr:to>
    <xdr:sp macro="" textlink="">
      <xdr:nvSpPr>
        <xdr:cNvPr id="5" name="Rectangle 4">
          <a:extLst>
            <a:ext uri="{FF2B5EF4-FFF2-40B4-BE49-F238E27FC236}">
              <a16:creationId xmlns:a16="http://schemas.microsoft.com/office/drawing/2014/main" id="{00000000-0008-0000-0300-000005000000}"/>
            </a:ext>
          </a:extLst>
        </xdr:cNvPr>
        <xdr:cNvSpPr/>
      </xdr:nvSpPr>
      <xdr:spPr>
        <a:xfrm>
          <a:off x="16239068" y="4872566"/>
          <a:ext cx="1778000" cy="1714500"/>
        </a:xfrm>
        <a:prstGeom prst="rect">
          <a:avLst/>
        </a:prstGeom>
        <a:solidFill>
          <a:schemeClr val="bg2">
            <a:lumMod val="9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latin typeface="Arial"/>
              <a:cs typeface="Arial"/>
            </a:rPr>
            <a:t>Ceci est un post it! Copier et coller le directement dans le canevas.</a:t>
          </a:r>
        </a:p>
      </xdr:txBody>
    </xdr:sp>
    <xdr:clientData/>
  </xdr:twoCellAnchor>
  <xdr:twoCellAnchor editAs="oneCell">
    <xdr:from>
      <xdr:col>6</xdr:col>
      <xdr:colOff>685799</xdr:colOff>
      <xdr:row>6</xdr:row>
      <xdr:rowOff>33867</xdr:rowOff>
    </xdr:from>
    <xdr:to>
      <xdr:col>7</xdr:col>
      <xdr:colOff>652101</xdr:colOff>
      <xdr:row>10</xdr:row>
      <xdr:rowOff>143426</xdr:rowOff>
    </xdr:to>
    <xdr:pic>
      <xdr:nvPicPr>
        <xdr:cNvPr id="16" name="Image 15">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2"/>
        <a:stretch>
          <a:fillRect/>
        </a:stretch>
      </xdr:blipFill>
      <xdr:spPr>
        <a:xfrm>
          <a:off x="5841999" y="1202267"/>
          <a:ext cx="766402" cy="871559"/>
        </a:xfrm>
        <a:prstGeom prst="rect">
          <a:avLst/>
        </a:prstGeom>
      </xdr:spPr>
    </xdr:pic>
    <xdr:clientData/>
  </xdr:twoCellAnchor>
  <xdr:twoCellAnchor editAs="oneCell">
    <xdr:from>
      <xdr:col>10</xdr:col>
      <xdr:colOff>699347</xdr:colOff>
      <xdr:row>6</xdr:row>
      <xdr:rowOff>42335</xdr:rowOff>
    </xdr:from>
    <xdr:to>
      <xdr:col>11</xdr:col>
      <xdr:colOff>638218</xdr:colOff>
      <xdr:row>10</xdr:row>
      <xdr:rowOff>165610</xdr:rowOff>
    </xdr:to>
    <xdr:pic>
      <xdr:nvPicPr>
        <xdr:cNvPr id="17" name="Image 16">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3"/>
        <a:stretch>
          <a:fillRect/>
        </a:stretch>
      </xdr:blipFill>
      <xdr:spPr>
        <a:xfrm>
          <a:off x="8801947" y="1210735"/>
          <a:ext cx="738971" cy="885275"/>
        </a:xfrm>
        <a:prstGeom prst="rect">
          <a:avLst/>
        </a:prstGeom>
      </xdr:spPr>
    </xdr:pic>
    <xdr:clientData/>
  </xdr:twoCellAnchor>
  <xdr:twoCellAnchor editAs="oneCell">
    <xdr:from>
      <xdr:col>14</xdr:col>
      <xdr:colOff>702734</xdr:colOff>
      <xdr:row>6</xdr:row>
      <xdr:rowOff>33866</xdr:rowOff>
    </xdr:from>
    <xdr:to>
      <xdr:col>15</xdr:col>
      <xdr:colOff>650749</xdr:colOff>
      <xdr:row>10</xdr:row>
      <xdr:rowOff>115993</xdr:rowOff>
    </xdr:to>
    <xdr:pic>
      <xdr:nvPicPr>
        <xdr:cNvPr id="18" name="Image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4"/>
        <a:stretch>
          <a:fillRect/>
        </a:stretch>
      </xdr:blipFill>
      <xdr:spPr>
        <a:xfrm>
          <a:off x="11751734" y="1202266"/>
          <a:ext cx="748115" cy="844127"/>
        </a:xfrm>
        <a:prstGeom prst="rect">
          <a:avLst/>
        </a:prstGeom>
      </xdr:spPr>
    </xdr:pic>
    <xdr:clientData/>
  </xdr:twoCellAnchor>
  <xdr:twoCellAnchor editAs="oneCell">
    <xdr:from>
      <xdr:col>18</xdr:col>
      <xdr:colOff>717126</xdr:colOff>
      <xdr:row>6</xdr:row>
      <xdr:rowOff>42333</xdr:rowOff>
    </xdr:from>
    <xdr:to>
      <xdr:col>19</xdr:col>
      <xdr:colOff>651424</xdr:colOff>
      <xdr:row>10</xdr:row>
      <xdr:rowOff>120226</xdr:rowOff>
    </xdr:to>
    <xdr:pic>
      <xdr:nvPicPr>
        <xdr:cNvPr id="19" name="Image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5"/>
        <a:stretch>
          <a:fillRect/>
        </a:stretch>
      </xdr:blipFill>
      <xdr:spPr>
        <a:xfrm>
          <a:off x="14712526" y="1210733"/>
          <a:ext cx="734398" cy="839893"/>
        </a:xfrm>
        <a:prstGeom prst="rect">
          <a:avLst/>
        </a:prstGeom>
      </xdr:spPr>
    </xdr:pic>
    <xdr:clientData/>
  </xdr:twoCellAnchor>
  <xdr:twoCellAnchor editAs="oneCell">
    <xdr:from>
      <xdr:col>6</xdr:col>
      <xdr:colOff>694267</xdr:colOff>
      <xdr:row>26</xdr:row>
      <xdr:rowOff>38100</xdr:rowOff>
    </xdr:from>
    <xdr:to>
      <xdr:col>7</xdr:col>
      <xdr:colOff>651425</xdr:colOff>
      <xdr:row>30</xdr:row>
      <xdr:rowOff>133943</xdr:rowOff>
    </xdr:to>
    <xdr:pic>
      <xdr:nvPicPr>
        <xdr:cNvPr id="20" name="Image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6"/>
        <a:stretch>
          <a:fillRect/>
        </a:stretch>
      </xdr:blipFill>
      <xdr:spPr>
        <a:xfrm>
          <a:off x="5850467" y="5016500"/>
          <a:ext cx="757258" cy="857843"/>
        </a:xfrm>
        <a:prstGeom prst="rect">
          <a:avLst/>
        </a:prstGeom>
      </xdr:spPr>
    </xdr:pic>
    <xdr:clientData/>
  </xdr:twoCellAnchor>
  <xdr:twoCellAnchor editAs="oneCell">
    <xdr:from>
      <xdr:col>18</xdr:col>
      <xdr:colOff>656167</xdr:colOff>
      <xdr:row>46</xdr:row>
      <xdr:rowOff>46566</xdr:rowOff>
    </xdr:from>
    <xdr:to>
      <xdr:col>19</xdr:col>
      <xdr:colOff>640757</xdr:colOff>
      <xdr:row>50</xdr:row>
      <xdr:rowOff>124460</xdr:rowOff>
    </xdr:to>
    <xdr:pic>
      <xdr:nvPicPr>
        <xdr:cNvPr id="21" name="Image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7"/>
        <a:stretch>
          <a:fillRect/>
        </a:stretch>
      </xdr:blipFill>
      <xdr:spPr>
        <a:xfrm>
          <a:off x="14651567" y="8834966"/>
          <a:ext cx="784690" cy="839894"/>
        </a:xfrm>
        <a:prstGeom prst="rect">
          <a:avLst/>
        </a:prstGeom>
      </xdr:spPr>
    </xdr:pic>
    <xdr:clientData/>
  </xdr:twoCellAnchor>
  <xdr:twoCellAnchor editAs="oneCell">
    <xdr:from>
      <xdr:col>8</xdr:col>
      <xdr:colOff>681567</xdr:colOff>
      <xdr:row>46</xdr:row>
      <xdr:rowOff>46567</xdr:rowOff>
    </xdr:from>
    <xdr:to>
      <xdr:col>9</xdr:col>
      <xdr:colOff>652442</xdr:colOff>
      <xdr:row>50</xdr:row>
      <xdr:rowOff>156126</xdr:rowOff>
    </xdr:to>
    <xdr:pic>
      <xdr:nvPicPr>
        <xdr:cNvPr id="22" name="Image 21">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8"/>
        <a:stretch>
          <a:fillRect/>
        </a:stretch>
      </xdr:blipFill>
      <xdr:spPr>
        <a:xfrm>
          <a:off x="7310967" y="8834967"/>
          <a:ext cx="770975" cy="871559"/>
        </a:xfrm>
        <a:prstGeom prst="rect">
          <a:avLst/>
        </a:prstGeom>
      </xdr:spPr>
    </xdr:pic>
    <xdr:clientData/>
  </xdr:twoCellAnchor>
  <xdr:twoCellAnchor editAs="oneCell">
    <xdr:from>
      <xdr:col>14</xdr:col>
      <xdr:colOff>685801</xdr:colOff>
      <xdr:row>26</xdr:row>
      <xdr:rowOff>42333</xdr:rowOff>
    </xdr:from>
    <xdr:to>
      <xdr:col>15</xdr:col>
      <xdr:colOff>649056</xdr:colOff>
      <xdr:row>30</xdr:row>
      <xdr:rowOff>147658</xdr:rowOff>
    </xdr:to>
    <xdr:pic>
      <xdr:nvPicPr>
        <xdr:cNvPr id="23" name="Image 22">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9"/>
        <a:stretch>
          <a:fillRect/>
        </a:stretch>
      </xdr:blipFill>
      <xdr:spPr>
        <a:xfrm>
          <a:off x="11734801" y="5020733"/>
          <a:ext cx="763355" cy="867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257175</xdr:colOff>
      <xdr:row>0</xdr:row>
      <xdr:rowOff>28575</xdr:rowOff>
    </xdr:from>
    <xdr:to>
      <xdr:col>2</xdr:col>
      <xdr:colOff>657225</xdr:colOff>
      <xdr:row>0</xdr:row>
      <xdr:rowOff>428625</xdr:rowOff>
    </xdr:to>
    <xdr:pic>
      <xdr:nvPicPr>
        <xdr:cNvPr id="11291" name="Picture 27">
          <a:hlinkClick xmlns:r="http://schemas.openxmlformats.org/officeDocument/2006/relationships" r:id="rId1"/>
          <a:extLst>
            <a:ext uri="{FF2B5EF4-FFF2-40B4-BE49-F238E27FC236}">
              <a16:creationId xmlns:a16="http://schemas.microsoft.com/office/drawing/2014/main" id="{00000000-0008-0000-0400-00001B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6200775" y="28575"/>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133350</xdr:colOff>
      <xdr:row>0</xdr:row>
      <xdr:rowOff>28575</xdr:rowOff>
    </xdr:from>
    <xdr:to>
      <xdr:col>2</xdr:col>
      <xdr:colOff>533400</xdr:colOff>
      <xdr:row>0</xdr:row>
      <xdr:rowOff>428625</xdr:rowOff>
    </xdr:to>
    <xdr:pic>
      <xdr:nvPicPr>
        <xdr:cNvPr id="38913" name="Picture 1">
          <a:hlinkClick xmlns:r="http://schemas.openxmlformats.org/officeDocument/2006/relationships" r:id="rId1"/>
          <a:extLst>
            <a:ext uri="{FF2B5EF4-FFF2-40B4-BE49-F238E27FC236}">
              <a16:creationId xmlns:a16="http://schemas.microsoft.com/office/drawing/2014/main" id="{00000000-0008-0000-0500-0000019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6099810" y="28575"/>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76200</xdr:colOff>
      <xdr:row>0</xdr:row>
      <xdr:rowOff>19050</xdr:rowOff>
    </xdr:from>
    <xdr:to>
      <xdr:col>8</xdr:col>
      <xdr:colOff>476250</xdr:colOff>
      <xdr:row>0</xdr:row>
      <xdr:rowOff>419100</xdr:rowOff>
    </xdr:to>
    <xdr:pic>
      <xdr:nvPicPr>
        <xdr:cNvPr id="40961" name="Picture 1">
          <a:hlinkClick xmlns:r="http://schemas.openxmlformats.org/officeDocument/2006/relationships" r:id="rId1"/>
          <a:extLst>
            <a:ext uri="{FF2B5EF4-FFF2-40B4-BE49-F238E27FC236}">
              <a16:creationId xmlns:a16="http://schemas.microsoft.com/office/drawing/2014/main" id="{00000000-0008-0000-0600-000001A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0256520" y="19050"/>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104775</xdr:colOff>
      <xdr:row>0</xdr:row>
      <xdr:rowOff>28575</xdr:rowOff>
    </xdr:from>
    <xdr:to>
      <xdr:col>5</xdr:col>
      <xdr:colOff>504825</xdr:colOff>
      <xdr:row>0</xdr:row>
      <xdr:rowOff>428625</xdr:rowOff>
    </xdr:to>
    <xdr:pic>
      <xdr:nvPicPr>
        <xdr:cNvPr id="39937" name="Picture 1">
          <a:hlinkClick xmlns:r="http://schemas.openxmlformats.org/officeDocument/2006/relationships" r:id="rId1"/>
          <a:extLst>
            <a:ext uri="{FF2B5EF4-FFF2-40B4-BE49-F238E27FC236}">
              <a16:creationId xmlns:a16="http://schemas.microsoft.com/office/drawing/2014/main" id="{00000000-0008-0000-0700-0000019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8943975" y="28575"/>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114300</xdr:colOff>
      <xdr:row>0</xdr:row>
      <xdr:rowOff>19050</xdr:rowOff>
    </xdr:from>
    <xdr:to>
      <xdr:col>11</xdr:col>
      <xdr:colOff>514350</xdr:colOff>
      <xdr:row>0</xdr:row>
      <xdr:rowOff>419100</xdr:rowOff>
    </xdr:to>
    <xdr:pic>
      <xdr:nvPicPr>
        <xdr:cNvPr id="35844" name="Picture 4">
          <a:hlinkClick xmlns:r="http://schemas.openxmlformats.org/officeDocument/2006/relationships" r:id="rId1"/>
          <a:extLst>
            <a:ext uri="{FF2B5EF4-FFF2-40B4-BE49-F238E27FC236}">
              <a16:creationId xmlns:a16="http://schemas.microsoft.com/office/drawing/2014/main" id="{00000000-0008-0000-0800-0000048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9174480" y="19050"/>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104775</xdr:colOff>
      <xdr:row>0</xdr:row>
      <xdr:rowOff>19050</xdr:rowOff>
    </xdr:from>
    <xdr:to>
      <xdr:col>4</xdr:col>
      <xdr:colOff>504825</xdr:colOff>
      <xdr:row>0</xdr:row>
      <xdr:rowOff>419100</xdr:rowOff>
    </xdr:to>
    <xdr:pic>
      <xdr:nvPicPr>
        <xdr:cNvPr id="36867" name="Picture 3">
          <a:hlinkClick xmlns:r="http://schemas.openxmlformats.org/officeDocument/2006/relationships" r:id="rId1"/>
          <a:extLst>
            <a:ext uri="{FF2B5EF4-FFF2-40B4-BE49-F238E27FC236}">
              <a16:creationId xmlns:a16="http://schemas.microsoft.com/office/drawing/2014/main" id="{00000000-0008-0000-0900-0000039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0205508" y="19050"/>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219075</xdr:colOff>
      <xdr:row>0</xdr:row>
      <xdr:rowOff>38100</xdr:rowOff>
    </xdr:from>
    <xdr:to>
      <xdr:col>2</xdr:col>
      <xdr:colOff>619125</xdr:colOff>
      <xdr:row>0</xdr:row>
      <xdr:rowOff>438150</xdr:rowOff>
    </xdr:to>
    <xdr:pic>
      <xdr:nvPicPr>
        <xdr:cNvPr id="41985" name="Picture 1">
          <a:hlinkClick xmlns:r="http://schemas.openxmlformats.org/officeDocument/2006/relationships" r:id="rId1"/>
          <a:extLst>
            <a:ext uri="{FF2B5EF4-FFF2-40B4-BE49-F238E27FC236}">
              <a16:creationId xmlns:a16="http://schemas.microsoft.com/office/drawing/2014/main" id="{00000000-0008-0000-0A00-000001A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0719435" y="38100"/>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DI">
  <a:themeElements>
    <a:clrScheme name="Personnalisé 2">
      <a:dk1>
        <a:sysClr val="windowText" lastClr="000000"/>
      </a:dk1>
      <a:lt1>
        <a:sysClr val="window" lastClr="FFFFFF"/>
      </a:lt1>
      <a:dk2>
        <a:srgbClr val="44546A"/>
      </a:dk2>
      <a:lt2>
        <a:srgbClr val="E7E6E6"/>
      </a:lt2>
      <a:accent1>
        <a:srgbClr val="E2007B"/>
      </a:accent1>
      <a:accent2>
        <a:srgbClr val="00A096"/>
      </a:accent2>
      <a:accent3>
        <a:srgbClr val="F29400"/>
      </a:accent3>
      <a:accent4>
        <a:srgbClr val="97BF0D"/>
      </a:accent4>
      <a:accent5>
        <a:srgbClr val="6666FF"/>
      </a:accent5>
      <a:accent6>
        <a:srgbClr val="FFC000"/>
      </a:accent6>
      <a:hlink>
        <a:srgbClr val="44546A"/>
      </a:hlink>
      <a:folHlink>
        <a:srgbClr val="954F72"/>
      </a:folHlink>
    </a:clrScheme>
    <a:fontScheme name="DI">
      <a:majorFont>
        <a:latin typeface="Arial Narrow"/>
        <a:ea typeface=""/>
        <a:cs typeface=""/>
      </a:majorFont>
      <a:minorFont>
        <a:latin typeface="Arial Narrow"/>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1"/>
  <dimension ref="A1:F81"/>
  <sheetViews>
    <sheetView topLeftCell="A15" zoomScale="125" zoomScaleNormal="125" zoomScalePageLayoutView="125" workbookViewId="0">
      <selection activeCell="D23" sqref="D23"/>
    </sheetView>
  </sheetViews>
  <sheetFormatPr baseColWidth="10" defaultColWidth="10.88671875" defaultRowHeight="13.8"/>
  <cols>
    <col min="1" max="2" width="27.33203125" style="4" customWidth="1"/>
    <col min="3" max="6" width="12.6640625" style="4" customWidth="1"/>
    <col min="7" max="16384" width="10.88671875" style="4"/>
  </cols>
  <sheetData>
    <row r="1" spans="1:3" ht="36" customHeight="1">
      <c r="A1" s="276" t="s">
        <v>117</v>
      </c>
      <c r="B1" s="277"/>
      <c r="C1" s="278"/>
    </row>
    <row r="2" spans="1:3">
      <c r="A2" s="17" t="s">
        <v>119</v>
      </c>
      <c r="B2" s="17" t="s">
        <v>118</v>
      </c>
      <c r="C2" s="17" t="s">
        <v>11</v>
      </c>
    </row>
    <row r="3" spans="1:3">
      <c r="A3" s="452">
        <v>0</v>
      </c>
      <c r="B3" s="271">
        <v>9600</v>
      </c>
      <c r="C3" s="272">
        <v>0</v>
      </c>
    </row>
    <row r="4" spans="1:3">
      <c r="A4" s="452">
        <f>B3</f>
        <v>9600</v>
      </c>
      <c r="B4" s="271">
        <v>17400</v>
      </c>
      <c r="C4" s="272">
        <v>5.3710000000000004</v>
      </c>
    </row>
    <row r="5" spans="1:3">
      <c r="A5" s="452">
        <f t="shared" ref="A5:A21" si="0">B4</f>
        <v>17400</v>
      </c>
      <c r="B5" s="273">
        <v>21400</v>
      </c>
      <c r="C5" s="272">
        <v>5.4939999999999998</v>
      </c>
    </row>
    <row r="6" spans="1:3">
      <c r="A6" s="452">
        <f t="shared" si="0"/>
        <v>21400</v>
      </c>
      <c r="B6" s="273">
        <v>23800</v>
      </c>
      <c r="C6" s="272">
        <v>5.617</v>
      </c>
    </row>
    <row r="7" spans="1:3">
      <c r="A7" s="452">
        <f t="shared" si="0"/>
        <v>23800</v>
      </c>
      <c r="B7" s="271">
        <v>26200</v>
      </c>
      <c r="C7" s="272">
        <v>5.7409999999999997</v>
      </c>
    </row>
    <row r="8" spans="1:3">
      <c r="A8" s="452">
        <f t="shared" si="0"/>
        <v>26200</v>
      </c>
      <c r="B8" s="273">
        <v>28600</v>
      </c>
      <c r="C8" s="272">
        <v>5.8639999999999999</v>
      </c>
    </row>
    <row r="9" spans="1:3">
      <c r="A9" s="452">
        <f t="shared" si="0"/>
        <v>28600</v>
      </c>
      <c r="B9" s="273">
        <v>31000</v>
      </c>
      <c r="C9" s="272">
        <v>5.9870000000000001</v>
      </c>
    </row>
    <row r="10" spans="1:3">
      <c r="A10" s="452">
        <f t="shared" si="0"/>
        <v>31000</v>
      </c>
      <c r="B10" s="273">
        <v>33400</v>
      </c>
      <c r="C10" s="272">
        <v>6.2350000000000003</v>
      </c>
    </row>
    <row r="11" spans="1:3">
      <c r="A11" s="452">
        <f t="shared" si="0"/>
        <v>33400</v>
      </c>
      <c r="B11" s="273">
        <v>35800</v>
      </c>
      <c r="C11" s="272">
        <v>6.4809999999999999</v>
      </c>
    </row>
    <row r="12" spans="1:3">
      <c r="A12" s="452">
        <f t="shared" si="0"/>
        <v>35800</v>
      </c>
      <c r="B12" s="271">
        <v>38200</v>
      </c>
      <c r="C12" s="272">
        <v>6.7279999999999998</v>
      </c>
    </row>
    <row r="13" spans="1:3">
      <c r="A13" s="452">
        <f t="shared" si="0"/>
        <v>38200</v>
      </c>
      <c r="B13" s="271">
        <v>40600</v>
      </c>
      <c r="C13" s="272">
        <v>6.976</v>
      </c>
    </row>
    <row r="14" spans="1:3">
      <c r="A14" s="452">
        <f t="shared" si="0"/>
        <v>40600</v>
      </c>
      <c r="B14" s="271">
        <v>43000</v>
      </c>
      <c r="C14" s="272">
        <v>7.2220000000000004</v>
      </c>
    </row>
    <row r="15" spans="1:3">
      <c r="A15" s="452">
        <f t="shared" si="0"/>
        <v>43000</v>
      </c>
      <c r="B15" s="273">
        <v>45400</v>
      </c>
      <c r="C15" s="272">
        <v>7.4690000000000003</v>
      </c>
    </row>
    <row r="16" spans="1:3">
      <c r="A16" s="452">
        <f t="shared" si="0"/>
        <v>45400</v>
      </c>
      <c r="B16" s="273">
        <v>47800</v>
      </c>
      <c r="C16" s="272">
        <v>7.84</v>
      </c>
    </row>
    <row r="17" spans="1:6">
      <c r="A17" s="452">
        <f t="shared" si="0"/>
        <v>47800</v>
      </c>
      <c r="B17" s="273">
        <v>50200</v>
      </c>
      <c r="C17" s="272">
        <v>8.2089999999999996</v>
      </c>
    </row>
    <row r="18" spans="1:6">
      <c r="A18" s="452">
        <f t="shared" si="0"/>
        <v>50200</v>
      </c>
      <c r="B18" s="273">
        <v>52600</v>
      </c>
      <c r="C18" s="272">
        <v>8.58</v>
      </c>
    </row>
    <row r="19" spans="1:6">
      <c r="A19" s="452">
        <f t="shared" si="0"/>
        <v>52600</v>
      </c>
      <c r="B19" s="273">
        <v>55000</v>
      </c>
      <c r="C19" s="272">
        <v>8.9510000000000005</v>
      </c>
    </row>
    <row r="20" spans="1:6">
      <c r="A20" s="452">
        <f t="shared" si="0"/>
        <v>55000</v>
      </c>
      <c r="B20" s="273">
        <v>57400</v>
      </c>
      <c r="C20" s="272">
        <v>9.3209999999999997</v>
      </c>
    </row>
    <row r="21" spans="1:6">
      <c r="A21" s="452">
        <f t="shared" si="0"/>
        <v>57400</v>
      </c>
      <c r="B21" s="273"/>
      <c r="C21" s="272">
        <v>10</v>
      </c>
    </row>
    <row r="22" spans="1:6">
      <c r="A22" s="274" t="s">
        <v>129</v>
      </c>
      <c r="B22" s="275"/>
      <c r="C22" s="5">
        <f>B3</f>
        <v>9600</v>
      </c>
      <c r="D22" s="5">
        <v>503</v>
      </c>
    </row>
    <row r="23" spans="1:6">
      <c r="A23" s="6" t="s">
        <v>318</v>
      </c>
      <c r="B23" s="7"/>
      <c r="C23" s="7"/>
      <c r="D23" s="7"/>
      <c r="E23" s="7"/>
      <c r="F23" s="7"/>
    </row>
    <row r="24" spans="1:6">
      <c r="A24" s="8" t="s">
        <v>120</v>
      </c>
      <c r="B24" s="9">
        <f>IF('Portrait de l''entreprise'!E5="Oui",'Portrait de l''entreprise'!F5,0)</f>
        <v>54000</v>
      </c>
      <c r="C24" s="8" t="s">
        <v>122</v>
      </c>
      <c r="D24" s="7" t="str">
        <f>Informations!B8</f>
        <v>NE</v>
      </c>
      <c r="E24" s="7"/>
      <c r="F24" s="7"/>
    </row>
    <row r="25" spans="1:6">
      <c r="A25" s="8" t="s">
        <v>121</v>
      </c>
      <c r="B25" s="9">
        <f>IF(AND(B24&lt;&gt;0,Informations!B23="Raison individuelle"),'Bilan initial'!B33,IF(AND(B24&lt;&gt;0,Informations!B23="Société en noms collectif"),Informations!B44,0))</f>
        <v>70000</v>
      </c>
      <c r="C25" s="8" t="s">
        <v>122</v>
      </c>
      <c r="D25" s="7"/>
      <c r="E25" s="7"/>
      <c r="F25" s="7"/>
    </row>
    <row r="26" spans="1:6">
      <c r="A26" s="8" t="s">
        <v>130</v>
      </c>
      <c r="B26" s="9">
        <f>IF(B25="","",B25*B30/100)</f>
        <v>350</v>
      </c>
      <c r="C26" s="8"/>
      <c r="D26" s="7"/>
      <c r="E26" s="7"/>
      <c r="F26" s="7"/>
    </row>
    <row r="27" spans="1:6">
      <c r="A27" s="8" t="s">
        <v>131</v>
      </c>
      <c r="B27" s="9">
        <f>FLOOR(IF(AND(B24&lt;&gt;"",B26&lt;&gt;""),B24-B26,""),100)</f>
        <v>53600</v>
      </c>
      <c r="C27" s="8"/>
      <c r="D27" s="7"/>
      <c r="E27" s="7"/>
      <c r="F27" s="7"/>
    </row>
    <row r="28" spans="1:6">
      <c r="A28" s="10" t="s">
        <v>124</v>
      </c>
      <c r="B28" s="11">
        <f>IF(B27&lt;&gt;"",VLOOKUP(B27,A3:C21,3),"")</f>
        <v>8.9510000000000005</v>
      </c>
      <c r="C28" s="8" t="s">
        <v>11</v>
      </c>
      <c r="D28" s="7"/>
      <c r="E28" s="7"/>
      <c r="F28" s="7"/>
    </row>
    <row r="29" spans="1:6">
      <c r="A29" s="8"/>
      <c r="B29" s="9"/>
      <c r="C29" s="8"/>
      <c r="D29" s="7"/>
      <c r="E29" s="7"/>
      <c r="F29" s="7"/>
    </row>
    <row r="30" spans="1:6">
      <c r="A30" s="8" t="s">
        <v>132</v>
      </c>
      <c r="B30" s="12">
        <v>0.5</v>
      </c>
      <c r="C30" s="8" t="s">
        <v>11</v>
      </c>
      <c r="D30" s="7"/>
      <c r="E30" s="7"/>
      <c r="F30" s="7"/>
    </row>
    <row r="31" spans="1:6">
      <c r="A31" s="8" t="s">
        <v>123</v>
      </c>
      <c r="B31" s="8">
        <v>3</v>
      </c>
      <c r="C31" s="8" t="s">
        <v>11</v>
      </c>
      <c r="D31" s="7"/>
      <c r="E31" s="7"/>
      <c r="F31" s="7"/>
    </row>
    <row r="32" spans="1:6">
      <c r="A32" s="8" t="s">
        <v>128</v>
      </c>
      <c r="B32" s="8">
        <v>0</v>
      </c>
      <c r="C32" s="8"/>
      <c r="D32" s="7"/>
      <c r="E32" s="7"/>
      <c r="F32" s="7"/>
    </row>
    <row r="33" spans="1:6">
      <c r="A33" s="8" t="s">
        <v>227</v>
      </c>
      <c r="B33" s="8">
        <v>2.1</v>
      </c>
      <c r="C33" s="8" t="s">
        <v>11</v>
      </c>
      <c r="D33" s="7"/>
      <c r="E33" s="7"/>
      <c r="F33" s="7"/>
    </row>
    <row r="34" spans="1:6">
      <c r="A34" s="8" t="s">
        <v>125</v>
      </c>
      <c r="B34" s="9">
        <f>IF(B27=0,0,IF(B27&lt;C22,D22,(B27*B28)/100))</f>
        <v>4797.7360000000008</v>
      </c>
      <c r="C34" s="8" t="s">
        <v>122</v>
      </c>
      <c r="D34" s="7"/>
      <c r="E34" s="7"/>
      <c r="F34" s="7"/>
    </row>
    <row r="35" spans="1:6">
      <c r="A35" s="10" t="s">
        <v>126</v>
      </c>
      <c r="B35" s="9">
        <f>IF(B34="","",(B34*B31/100))</f>
        <v>143.93208000000001</v>
      </c>
      <c r="C35" s="8" t="s">
        <v>122</v>
      </c>
      <c r="D35" s="7"/>
      <c r="E35" s="7"/>
      <c r="F35" s="7"/>
    </row>
    <row r="36" spans="1:6">
      <c r="A36" s="8" t="s">
        <v>127</v>
      </c>
      <c r="B36" s="9">
        <f>ROUND((B34+B35)*20,0)/20</f>
        <v>4941.6499999999996</v>
      </c>
      <c r="C36" s="8" t="s">
        <v>122</v>
      </c>
      <c r="D36" s="7"/>
      <c r="E36" s="7"/>
      <c r="F36" s="7"/>
    </row>
    <row r="37" spans="1:6">
      <c r="A37" s="7" t="s">
        <v>307</v>
      </c>
      <c r="B37" s="9">
        <f>B27*B33/100</f>
        <v>1125.5999999999999</v>
      </c>
      <c r="C37" s="7" t="s">
        <v>122</v>
      </c>
      <c r="D37" s="7"/>
      <c r="E37" s="7"/>
      <c r="F37" s="7"/>
    </row>
    <row r="38" spans="1:6">
      <c r="A38" s="7" t="s">
        <v>229</v>
      </c>
      <c r="B38" s="13">
        <f>B36+B37</f>
        <v>6067.25</v>
      </c>
      <c r="C38" s="8" t="s">
        <v>122</v>
      </c>
      <c r="D38" s="7"/>
      <c r="E38" s="7"/>
      <c r="F38" s="7"/>
    </row>
    <row r="39" spans="1:6">
      <c r="C39" s="7"/>
      <c r="D39" s="7"/>
      <c r="E39" s="7"/>
      <c r="F39" s="7"/>
    </row>
    <row r="40" spans="1:6">
      <c r="A40" s="8"/>
      <c r="B40" s="8"/>
      <c r="C40" s="7"/>
      <c r="D40" s="7"/>
      <c r="E40" s="7"/>
      <c r="F40" s="7"/>
    </row>
    <row r="41" spans="1:6">
      <c r="A41" s="7"/>
      <c r="B41" s="7"/>
      <c r="C41" s="7"/>
      <c r="D41" s="7"/>
      <c r="E41" s="7"/>
      <c r="F41" s="7"/>
    </row>
    <row r="42" spans="1:6">
      <c r="A42" s="14" t="s">
        <v>317</v>
      </c>
    </row>
    <row r="43" spans="1:6">
      <c r="A43" s="8" t="s">
        <v>120</v>
      </c>
      <c r="B43" s="9">
        <f>IF('Portrait de l''entreprise'!E6="Oui",'Portrait de l''entreprise'!F6,0)</f>
        <v>0</v>
      </c>
      <c r="C43" s="8" t="s">
        <v>122</v>
      </c>
    </row>
    <row r="44" spans="1:6">
      <c r="A44" s="8" t="s">
        <v>121</v>
      </c>
      <c r="B44" s="9">
        <f>IF(AND(B43&lt;&gt;0,Informations!B23="Raison individuelle"),'Bilan initial'!B33,IF(AND(B43&lt;&gt;0,Informations!B23="Société en noms collectif"),Informations!B45,0))</f>
        <v>0</v>
      </c>
      <c r="C44" s="8" t="s">
        <v>122</v>
      </c>
    </row>
    <row r="45" spans="1:6">
      <c r="A45" s="8" t="s">
        <v>130</v>
      </c>
      <c r="B45" s="9">
        <f>IF(B44="","",B44*B49/100)</f>
        <v>0</v>
      </c>
      <c r="C45" s="8"/>
    </row>
    <row r="46" spans="1:6">
      <c r="A46" s="8" t="s">
        <v>131</v>
      </c>
      <c r="B46" s="9">
        <f>IF(AND(B43&lt;&gt;"",B45&lt;&gt;""),B43-B45,"")</f>
        <v>0</v>
      </c>
      <c r="C46" s="8"/>
    </row>
    <row r="47" spans="1:6">
      <c r="A47" s="10" t="s">
        <v>124</v>
      </c>
      <c r="B47" s="11">
        <f>IF(B46&lt;&gt;"",VLOOKUP(B46,A3:C21,3),"")</f>
        <v>0</v>
      </c>
      <c r="C47" s="8" t="s">
        <v>11</v>
      </c>
    </row>
    <row r="48" spans="1:6">
      <c r="A48" s="8"/>
      <c r="B48" s="9"/>
      <c r="C48" s="8"/>
    </row>
    <row r="49" spans="1:3">
      <c r="A49" s="8" t="s">
        <v>132</v>
      </c>
      <c r="B49" s="12">
        <f>B30</f>
        <v>0.5</v>
      </c>
      <c r="C49" s="8" t="s">
        <v>11</v>
      </c>
    </row>
    <row r="50" spans="1:3">
      <c r="A50" s="8" t="s">
        <v>123</v>
      </c>
      <c r="B50" s="8">
        <f>B31</f>
        <v>3</v>
      </c>
      <c r="C50" s="8" t="s">
        <v>11</v>
      </c>
    </row>
    <row r="51" spans="1:3">
      <c r="A51" s="8" t="s">
        <v>128</v>
      </c>
      <c r="B51" s="8">
        <f>B32</f>
        <v>0</v>
      </c>
      <c r="C51" s="8"/>
    </row>
    <row r="52" spans="1:3">
      <c r="A52" s="8" t="s">
        <v>227</v>
      </c>
      <c r="B52" s="8">
        <f>B33</f>
        <v>2.1</v>
      </c>
      <c r="C52" s="8" t="s">
        <v>11</v>
      </c>
    </row>
    <row r="53" spans="1:3">
      <c r="A53" s="8" t="s">
        <v>125</v>
      </c>
      <c r="B53" s="9">
        <f>IF(B46=0,0,IF(B46&lt;C22,D22,(B46*B47)/100))</f>
        <v>0</v>
      </c>
      <c r="C53" s="8" t="s">
        <v>122</v>
      </c>
    </row>
    <row r="54" spans="1:3">
      <c r="A54" s="10" t="s">
        <v>126</v>
      </c>
      <c r="B54" s="9">
        <f>IF(B53="","",(B53*B50/100))</f>
        <v>0</v>
      </c>
      <c r="C54" s="8" t="s">
        <v>122</v>
      </c>
    </row>
    <row r="55" spans="1:3">
      <c r="A55" s="8" t="s">
        <v>127</v>
      </c>
      <c r="B55" s="9">
        <f>ROUND((B53+B54)*20,0)/20</f>
        <v>0</v>
      </c>
      <c r="C55" s="8" t="s">
        <v>122</v>
      </c>
    </row>
    <row r="56" spans="1:3">
      <c r="A56" s="7" t="s">
        <v>307</v>
      </c>
      <c r="B56" s="9">
        <f>B46*B52/100</f>
        <v>0</v>
      </c>
      <c r="C56" s="7" t="s">
        <v>122</v>
      </c>
    </row>
    <row r="57" spans="1:3">
      <c r="A57" s="7" t="s">
        <v>229</v>
      </c>
      <c r="B57" s="13">
        <f>B55+B56</f>
        <v>0</v>
      </c>
      <c r="C57" s="8" t="s">
        <v>122</v>
      </c>
    </row>
    <row r="61" spans="1:3">
      <c r="A61" s="14" t="s">
        <v>319</v>
      </c>
    </row>
    <row r="62" spans="1:3">
      <c r="A62" s="8" t="s">
        <v>120</v>
      </c>
      <c r="B62" s="9">
        <f>IF('Portrait de l''entreprise'!E7="Oui",'Portrait de l''entreprise'!F7,0)</f>
        <v>0</v>
      </c>
      <c r="C62" s="8" t="s">
        <v>122</v>
      </c>
    </row>
    <row r="63" spans="1:3">
      <c r="A63" s="8" t="s">
        <v>121</v>
      </c>
      <c r="B63" s="9">
        <f>IF(AND(B62&lt;&gt;0,Informations!B23="Raison individuelle"),'Bilan initial'!B33,IF(AND(B62&lt;&gt;0,Informations!B23="Société en noms collectif"),Informations!B46,0))</f>
        <v>0</v>
      </c>
      <c r="C63" s="8" t="s">
        <v>122</v>
      </c>
    </row>
    <row r="64" spans="1:3">
      <c r="A64" s="8" t="s">
        <v>130</v>
      </c>
      <c r="B64" s="9">
        <f>IF(B63="","",B63*B68/100)</f>
        <v>0</v>
      </c>
      <c r="C64" s="8"/>
    </row>
    <row r="65" spans="1:3">
      <c r="A65" s="8" t="s">
        <v>131</v>
      </c>
      <c r="B65" s="9">
        <f>IF(AND(B62&lt;&gt;"",B64&lt;&gt;""),B62-B64,"")</f>
        <v>0</v>
      </c>
      <c r="C65" s="8"/>
    </row>
    <row r="66" spans="1:3">
      <c r="A66" s="10" t="s">
        <v>124</v>
      </c>
      <c r="B66" s="11">
        <f>IF(B62&lt;&gt;"",VLOOKUP(B62,A3:C21,3),"")</f>
        <v>0</v>
      </c>
      <c r="C66" s="8" t="s">
        <v>11</v>
      </c>
    </row>
    <row r="67" spans="1:3">
      <c r="A67" s="8"/>
      <c r="B67" s="9"/>
      <c r="C67" s="8"/>
    </row>
    <row r="68" spans="1:3">
      <c r="A68" s="8" t="s">
        <v>132</v>
      </c>
      <c r="B68" s="12">
        <f>B49</f>
        <v>0.5</v>
      </c>
      <c r="C68" s="8" t="s">
        <v>11</v>
      </c>
    </row>
    <row r="69" spans="1:3">
      <c r="A69" s="8" t="s">
        <v>123</v>
      </c>
      <c r="B69" s="8">
        <f>B50</f>
        <v>3</v>
      </c>
      <c r="C69" s="8" t="s">
        <v>11</v>
      </c>
    </row>
    <row r="70" spans="1:3">
      <c r="A70" s="8" t="s">
        <v>128</v>
      </c>
      <c r="B70" s="8">
        <f>B51</f>
        <v>0</v>
      </c>
      <c r="C70" s="8"/>
    </row>
    <row r="71" spans="1:3">
      <c r="A71" s="8" t="s">
        <v>227</v>
      </c>
      <c r="B71" s="8">
        <f>B52</f>
        <v>2.1</v>
      </c>
      <c r="C71" s="8" t="s">
        <v>11</v>
      </c>
    </row>
    <row r="72" spans="1:3">
      <c r="A72" s="8" t="s">
        <v>125</v>
      </c>
      <c r="B72" s="9" t="str">
        <f>IF(B65=0,"0",IF(B65&lt;C22,D22,(B65*B66)/100))</f>
        <v>0</v>
      </c>
      <c r="C72" s="8" t="s">
        <v>122</v>
      </c>
    </row>
    <row r="73" spans="1:3">
      <c r="A73" s="10" t="s">
        <v>126</v>
      </c>
      <c r="B73" s="9">
        <f>IF(B72="","",(B72*B69/100))</f>
        <v>0</v>
      </c>
      <c r="C73" s="8" t="s">
        <v>122</v>
      </c>
    </row>
    <row r="74" spans="1:3">
      <c r="A74" s="8" t="s">
        <v>127</v>
      </c>
      <c r="B74" s="9">
        <f>ROUND((B72+B73)*20,0)/20</f>
        <v>0</v>
      </c>
      <c r="C74" s="8" t="s">
        <v>122</v>
      </c>
    </row>
    <row r="75" spans="1:3">
      <c r="A75" s="7" t="s">
        <v>307</v>
      </c>
      <c r="B75" s="9">
        <f>B65*B71/100</f>
        <v>0</v>
      </c>
      <c r="C75" s="7" t="s">
        <v>122</v>
      </c>
    </row>
    <row r="76" spans="1:3">
      <c r="A76" s="7" t="s">
        <v>229</v>
      </c>
      <c r="B76" s="13">
        <f>B74+B75</f>
        <v>0</v>
      </c>
      <c r="C76" s="8" t="s">
        <v>122</v>
      </c>
    </row>
    <row r="78" spans="1:3">
      <c r="A78" s="6" t="s">
        <v>321</v>
      </c>
    </row>
    <row r="79" spans="1:3">
      <c r="A79" s="7" t="s">
        <v>315</v>
      </c>
      <c r="B79" s="13">
        <f>B36+B55+B74</f>
        <v>4941.6499999999996</v>
      </c>
    </row>
    <row r="80" spans="1:3">
      <c r="A80" s="7" t="s">
        <v>316</v>
      </c>
      <c r="B80" s="13">
        <f>B37+B56+B75</f>
        <v>1125.5999999999999</v>
      </c>
    </row>
    <row r="81" spans="1:2">
      <c r="A81" s="15" t="s">
        <v>320</v>
      </c>
      <c r="B81" s="16">
        <f>B79+B80</f>
        <v>6067.25</v>
      </c>
    </row>
  </sheetData>
  <mergeCells count="2">
    <mergeCell ref="A22:B22"/>
    <mergeCell ref="A1:C1"/>
  </mergeCells>
  <phoneticPr fontId="0" type="noConversion"/>
  <pageMargins left="0.78740157480314965" right="0.78740157480314965" top="0.98425196850393704" bottom="0.6692913385826772" header="0.51181102362204722" footer="0.51181102362204722"/>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5"/>
    <pageSetUpPr fitToPage="1"/>
  </sheetPr>
  <dimension ref="A1:P35"/>
  <sheetViews>
    <sheetView workbookViewId="0">
      <selection activeCell="G33" sqref="G33"/>
    </sheetView>
  </sheetViews>
  <sheetFormatPr baseColWidth="10" defaultColWidth="10.88671875" defaultRowHeight="13.8"/>
  <cols>
    <col min="1" max="1" width="46" style="18" customWidth="1"/>
    <col min="2" max="2" width="10.6640625" style="18" customWidth="1"/>
    <col min="3" max="4" width="45.33203125" style="18" customWidth="1"/>
    <col min="5" max="256" width="9.109375" style="18" customWidth="1"/>
    <col min="257" max="16384" width="10.88671875" style="18"/>
  </cols>
  <sheetData>
    <row r="1" spans="1:16" ht="36" customHeight="1">
      <c r="A1" s="320" t="s">
        <v>259</v>
      </c>
      <c r="B1" s="320"/>
      <c r="C1" s="320"/>
      <c r="D1" s="320"/>
      <c r="E1" s="72"/>
      <c r="F1" s="72"/>
      <c r="G1" s="72"/>
      <c r="H1" s="72"/>
      <c r="I1" s="72"/>
      <c r="J1" s="72"/>
      <c r="K1" s="72"/>
      <c r="L1" s="92"/>
      <c r="M1" s="92"/>
      <c r="N1" s="92"/>
      <c r="O1" s="92"/>
      <c r="P1" s="92"/>
    </row>
    <row r="3" spans="1:16" ht="15" customHeight="1">
      <c r="A3" s="325" t="s">
        <v>287</v>
      </c>
      <c r="B3" s="325"/>
      <c r="C3" s="325"/>
      <c r="D3" s="325"/>
    </row>
    <row r="4" spans="1:16">
      <c r="A4" s="354" t="s">
        <v>433</v>
      </c>
      <c r="B4" s="376"/>
      <c r="C4" s="376"/>
      <c r="D4" s="377"/>
    </row>
    <row r="5" spans="1:16">
      <c r="A5" s="378"/>
      <c r="B5" s="379"/>
      <c r="C5" s="379"/>
      <c r="D5" s="380"/>
    </row>
    <row r="6" spans="1:16">
      <c r="A6" s="378"/>
      <c r="B6" s="379"/>
      <c r="C6" s="379"/>
      <c r="D6" s="380"/>
    </row>
    <row r="7" spans="1:16">
      <c r="A7" s="378"/>
      <c r="B7" s="379"/>
      <c r="C7" s="379"/>
      <c r="D7" s="380"/>
    </row>
    <row r="8" spans="1:16">
      <c r="A8" s="378"/>
      <c r="B8" s="379"/>
      <c r="C8" s="379"/>
      <c r="D8" s="380"/>
    </row>
    <row r="9" spans="1:16">
      <c r="A9" s="381"/>
      <c r="B9" s="382"/>
      <c r="C9" s="382"/>
      <c r="D9" s="383"/>
    </row>
    <row r="10" spans="1:16">
      <c r="A10" s="93"/>
      <c r="B10" s="93"/>
      <c r="C10" s="93"/>
      <c r="D10" s="93"/>
    </row>
    <row r="11" spans="1:16" ht="15" customHeight="1">
      <c r="A11" s="325" t="s">
        <v>288</v>
      </c>
      <c r="B11" s="325"/>
      <c r="C11" s="325"/>
      <c r="D11" s="325"/>
    </row>
    <row r="12" spans="1:16" ht="12.75" customHeight="1">
      <c r="A12" s="354" t="s">
        <v>434</v>
      </c>
      <c r="B12" s="355"/>
      <c r="C12" s="355"/>
      <c r="D12" s="356"/>
    </row>
    <row r="13" spans="1:16" ht="12.75" customHeight="1">
      <c r="A13" s="373"/>
      <c r="B13" s="374"/>
      <c r="C13" s="374"/>
      <c r="D13" s="375"/>
    </row>
    <row r="14" spans="1:16" ht="12.75" customHeight="1">
      <c r="A14" s="373"/>
      <c r="B14" s="374"/>
      <c r="C14" s="374"/>
      <c r="D14" s="375"/>
    </row>
    <row r="15" spans="1:16" ht="12.75" customHeight="1">
      <c r="A15" s="373"/>
      <c r="B15" s="374"/>
      <c r="C15" s="374"/>
      <c r="D15" s="375"/>
    </row>
    <row r="16" spans="1:16" ht="12.75" customHeight="1">
      <c r="A16" s="373"/>
      <c r="B16" s="374"/>
      <c r="C16" s="374"/>
      <c r="D16" s="375"/>
    </row>
    <row r="17" spans="1:7">
      <c r="A17" s="357"/>
      <c r="B17" s="358"/>
      <c r="C17" s="358"/>
      <c r="D17" s="359"/>
      <c r="G17" s="52"/>
    </row>
    <row r="18" spans="1:7">
      <c r="A18" s="94"/>
      <c r="B18" s="94"/>
      <c r="C18" s="94"/>
      <c r="D18" s="94"/>
      <c r="G18" s="52"/>
    </row>
    <row r="19" spans="1:7" ht="15" customHeight="1">
      <c r="A19" s="325" t="s">
        <v>305</v>
      </c>
      <c r="B19" s="325"/>
      <c r="C19" s="325"/>
      <c r="D19" s="325"/>
      <c r="G19" s="52"/>
    </row>
    <row r="20" spans="1:7">
      <c r="A20" s="68" t="s">
        <v>115</v>
      </c>
      <c r="B20" s="68" t="s">
        <v>291</v>
      </c>
      <c r="C20" s="68" t="s">
        <v>289</v>
      </c>
      <c r="D20" s="68" t="s">
        <v>290</v>
      </c>
      <c r="F20" s="95"/>
      <c r="G20" s="52" t="s">
        <v>292</v>
      </c>
    </row>
    <row r="21" spans="1:7">
      <c r="A21" s="262" t="s">
        <v>435</v>
      </c>
      <c r="B21" s="263" t="s">
        <v>292</v>
      </c>
      <c r="C21" s="251" t="s">
        <v>436</v>
      </c>
      <c r="D21" s="251" t="s">
        <v>437</v>
      </c>
      <c r="F21" s="95"/>
      <c r="G21" s="52" t="s">
        <v>293</v>
      </c>
    </row>
    <row r="22" spans="1:7">
      <c r="A22" s="255"/>
      <c r="B22" s="263"/>
      <c r="C22" s="263"/>
      <c r="D22" s="251" t="s">
        <v>438</v>
      </c>
      <c r="F22" s="95"/>
      <c r="G22" s="52"/>
    </row>
    <row r="23" spans="1:7">
      <c r="A23" s="262" t="s">
        <v>439</v>
      </c>
      <c r="B23" s="263" t="s">
        <v>292</v>
      </c>
      <c r="C23" s="251" t="s">
        <v>440</v>
      </c>
      <c r="D23" s="251" t="s">
        <v>441</v>
      </c>
      <c r="F23" s="95" t="s">
        <v>292</v>
      </c>
      <c r="G23" s="52"/>
    </row>
    <row r="24" spans="1:7">
      <c r="A24" s="255"/>
      <c r="B24" s="255"/>
      <c r="C24" s="263"/>
      <c r="D24" s="251" t="s">
        <v>442</v>
      </c>
      <c r="F24" s="95" t="s">
        <v>293</v>
      </c>
      <c r="G24" s="52"/>
    </row>
    <row r="25" spans="1:7">
      <c r="A25" s="255"/>
      <c r="B25" s="255"/>
      <c r="C25" s="263"/>
      <c r="D25" s="263"/>
      <c r="F25" s="95"/>
      <c r="G25" s="52"/>
    </row>
    <row r="26" spans="1:7">
      <c r="A26" s="255"/>
      <c r="B26" s="255"/>
      <c r="C26" s="263"/>
      <c r="D26" s="263"/>
      <c r="F26" s="95"/>
    </row>
    <row r="27" spans="1:7">
      <c r="A27" s="83"/>
      <c r="B27" s="77"/>
      <c r="C27" s="77"/>
      <c r="D27" s="77"/>
      <c r="F27" s="95"/>
    </row>
    <row r="28" spans="1:7">
      <c r="A28" s="96"/>
      <c r="B28" s="97"/>
      <c r="C28" s="97"/>
      <c r="D28" s="97"/>
      <c r="F28" s="95"/>
    </row>
    <row r="29" spans="1:7" ht="15" customHeight="1">
      <c r="A29" s="325" t="s">
        <v>276</v>
      </c>
      <c r="B29" s="325"/>
      <c r="C29" s="325"/>
      <c r="D29" s="325"/>
    </row>
    <row r="30" spans="1:7" ht="15" customHeight="1">
      <c r="A30" s="354" t="s">
        <v>443</v>
      </c>
      <c r="B30" s="355"/>
      <c r="C30" s="355"/>
      <c r="D30" s="356"/>
    </row>
    <row r="31" spans="1:7" ht="15" customHeight="1">
      <c r="A31" s="373"/>
      <c r="B31" s="374"/>
      <c r="C31" s="374"/>
      <c r="D31" s="375"/>
    </row>
    <row r="32" spans="1:7" ht="15" customHeight="1">
      <c r="A32" s="373"/>
      <c r="B32" s="374"/>
      <c r="C32" s="374"/>
      <c r="D32" s="375"/>
    </row>
    <row r="33" spans="1:4" ht="15" customHeight="1">
      <c r="A33" s="373"/>
      <c r="B33" s="374"/>
      <c r="C33" s="374"/>
      <c r="D33" s="375"/>
    </row>
    <row r="34" spans="1:4" ht="15" customHeight="1">
      <c r="A34" s="373"/>
      <c r="B34" s="374"/>
      <c r="C34" s="374"/>
      <c r="D34" s="375"/>
    </row>
    <row r="35" spans="1:4" ht="15" customHeight="1">
      <c r="A35" s="357"/>
      <c r="B35" s="358"/>
      <c r="C35" s="358"/>
      <c r="D35" s="359"/>
    </row>
  </sheetData>
  <sheetProtection password="C628" sheet="1" objects="1" scenarios="1"/>
  <mergeCells count="8">
    <mergeCell ref="A30:D35"/>
    <mergeCell ref="A3:D3"/>
    <mergeCell ref="A1:D1"/>
    <mergeCell ref="A11:D11"/>
    <mergeCell ref="A19:D19"/>
    <mergeCell ref="A29:D29"/>
    <mergeCell ref="A4:D9"/>
    <mergeCell ref="A12:D17"/>
  </mergeCells>
  <phoneticPr fontId="0" type="noConversion"/>
  <dataValidations count="1">
    <dataValidation type="list" allowBlank="1" showInputMessage="1" showErrorMessage="1" sqref="B21:B28" xr:uid="{00000000-0002-0000-0900-000000000000}">
      <formula1>$G$20:$G$21</formula1>
    </dataValidation>
  </dataValidations>
  <printOptions horizontalCentered="1"/>
  <pageMargins left="0.39000000000000007" right="0.39000000000000007" top="0.39000000000000007" bottom="0.39000000000000007" header="0.51" footer="0.39000000000000007"/>
  <pageSetup paperSize="9" scale="96" orientation="landscape" r:id="rId1"/>
  <headerFooter scaleWithDoc="0">
    <oddFooter>&amp;R&amp;K433B547</oddFooter>
  </headerFooter>
  <drawing r:id="rId2"/>
  <legacyDrawing r:id="rId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theme="3"/>
    <pageSetUpPr fitToPage="1"/>
  </sheetPr>
  <dimension ref="A1:K36"/>
  <sheetViews>
    <sheetView showZeros="0" workbookViewId="0">
      <selection activeCell="B34" sqref="B34"/>
    </sheetView>
  </sheetViews>
  <sheetFormatPr baseColWidth="10" defaultColWidth="9.109375" defaultRowHeight="13.8"/>
  <cols>
    <col min="1" max="1" width="130.109375" style="21" customWidth="1"/>
    <col min="2" max="2" width="23" style="21" customWidth="1"/>
    <col min="3" max="3" width="11.44140625" style="21" customWidth="1"/>
    <col min="4" max="4" width="11.33203125" style="21" bestFit="1" customWidth="1"/>
    <col min="5" max="16384" width="9.109375" style="21"/>
  </cols>
  <sheetData>
    <row r="1" spans="1:11" ht="36" customHeight="1">
      <c r="A1" s="384" t="str">
        <f>CONCATENATE("7. Bilan initial au"," ",TEXT(Informations!B25,"jj.mm.aaaa"))</f>
        <v>7. Bilan initial au 01.01.2023</v>
      </c>
      <c r="B1" s="384"/>
      <c r="C1" s="89"/>
      <c r="D1" s="89"/>
      <c r="E1" s="89"/>
      <c r="F1" s="89"/>
      <c r="G1" s="89"/>
      <c r="H1" s="89"/>
      <c r="I1" s="89"/>
      <c r="J1" s="89"/>
      <c r="K1" s="89"/>
    </row>
    <row r="2" spans="1:11" ht="18">
      <c r="A2" s="90"/>
      <c r="B2" s="91"/>
    </row>
    <row r="3" spans="1:11" ht="15.75" customHeight="1">
      <c r="A3" s="172" t="s">
        <v>353</v>
      </c>
      <c r="B3" s="173" t="str">
        <f>IF(ROUND(B19,0)=ROUND(B36,0),"V","X")</f>
        <v>V</v>
      </c>
    </row>
    <row r="4" spans="1:11" ht="15.75" customHeight="1">
      <c r="A4" s="174" t="s">
        <v>219</v>
      </c>
      <c r="B4" s="175"/>
    </row>
    <row r="5" spans="1:11" ht="15.75" customHeight="1">
      <c r="A5" s="176" t="s">
        <v>342</v>
      </c>
      <c r="B5" s="177">
        <v>31500</v>
      </c>
    </row>
    <row r="6" spans="1:11" ht="15.75" customHeight="1">
      <c r="A6" s="176" t="s">
        <v>189</v>
      </c>
      <c r="B6" s="177"/>
    </row>
    <row r="7" spans="1:11" ht="15.75" customHeight="1">
      <c r="A7" s="176" t="s">
        <v>44</v>
      </c>
      <c r="B7" s="177"/>
    </row>
    <row r="8" spans="1:11" ht="15.75" customHeight="1">
      <c r="A8" s="178" t="s">
        <v>218</v>
      </c>
      <c r="B8" s="179">
        <f>SUM(B5:B7)</f>
        <v>31500</v>
      </c>
    </row>
    <row r="9" spans="1:11" customFormat="1" ht="15.75" customHeight="1"/>
    <row r="10" spans="1:11" ht="15.75" customHeight="1">
      <c r="A10" s="180" t="s">
        <v>217</v>
      </c>
      <c r="B10" s="181"/>
    </row>
    <row r="11" spans="1:11" ht="15.75" customHeight="1">
      <c r="A11" s="176" t="s">
        <v>208</v>
      </c>
      <c r="B11" s="182"/>
    </row>
    <row r="12" spans="1:11" ht="15.75" customHeight="1">
      <c r="A12" s="176" t="s">
        <v>343</v>
      </c>
      <c r="B12" s="182">
        <f>Inventaire_Immobilisations!B7</f>
        <v>3500</v>
      </c>
    </row>
    <row r="13" spans="1:11" ht="15.75" customHeight="1">
      <c r="A13" s="176" t="s">
        <v>164</v>
      </c>
      <c r="B13" s="182">
        <f>Inventaire_Immobilisations!B13</f>
        <v>9000</v>
      </c>
    </row>
    <row r="14" spans="1:11" ht="15.75" customHeight="1">
      <c r="A14" s="176" t="s">
        <v>46</v>
      </c>
      <c r="B14" s="182">
        <f>Inventaire_Immobilisations!B19</f>
        <v>26000</v>
      </c>
    </row>
    <row r="15" spans="1:11" ht="15.75" customHeight="1">
      <c r="A15" s="176" t="s">
        <v>47</v>
      </c>
      <c r="B15" s="182">
        <f>Inventaire_Immobilisations!B25</f>
        <v>0</v>
      </c>
    </row>
    <row r="16" spans="1:11" ht="15.75" customHeight="1">
      <c r="A16" s="176" t="s">
        <v>190</v>
      </c>
      <c r="B16" s="182">
        <f>Inventaire_Immobilisations!B31</f>
        <v>0</v>
      </c>
    </row>
    <row r="17" spans="1:2" ht="15.75" customHeight="1">
      <c r="A17" s="178" t="s">
        <v>48</v>
      </c>
      <c r="B17" s="179">
        <f>SUM(B11:B16)</f>
        <v>38500</v>
      </c>
    </row>
    <row r="18" spans="1:2" customFormat="1" ht="15.75" customHeight="1"/>
    <row r="19" spans="1:2" ht="15.75" customHeight="1">
      <c r="A19" s="183" t="s">
        <v>49</v>
      </c>
      <c r="B19" s="184">
        <f>B8+B17</f>
        <v>70000</v>
      </c>
    </row>
    <row r="20" spans="1:2" customFormat="1" ht="15.75" customHeight="1"/>
    <row r="21" spans="1:2" ht="15.75" customHeight="1">
      <c r="A21" s="172" t="s">
        <v>354</v>
      </c>
      <c r="B21" s="185"/>
    </row>
    <row r="22" spans="1:2" ht="15.75" customHeight="1">
      <c r="A22" s="174" t="s">
        <v>211</v>
      </c>
      <c r="B22" s="174"/>
    </row>
    <row r="23" spans="1:2" ht="15.75" customHeight="1">
      <c r="A23" s="176" t="s">
        <v>205</v>
      </c>
      <c r="B23" s="177"/>
    </row>
    <row r="24" spans="1:2" ht="15.75" customHeight="1">
      <c r="A24" s="176" t="s">
        <v>303</v>
      </c>
      <c r="B24" s="177"/>
    </row>
    <row r="25" spans="1:2" ht="15.75" customHeight="1">
      <c r="A25" s="178" t="s">
        <v>212</v>
      </c>
      <c r="B25" s="179">
        <f>SUM(B23:B24)</f>
        <v>0</v>
      </c>
    </row>
    <row r="26" spans="1:2" customFormat="1" ht="15.75" customHeight="1"/>
    <row r="27" spans="1:2" ht="15.75" customHeight="1">
      <c r="A27" s="174" t="s">
        <v>213</v>
      </c>
      <c r="B27" s="181"/>
    </row>
    <row r="28" spans="1:2" ht="15.75" customHeight="1">
      <c r="A28" s="176" t="s">
        <v>209</v>
      </c>
      <c r="B28" s="177"/>
    </row>
    <row r="29" spans="1:2" ht="15.75" customHeight="1">
      <c r="A29" s="176" t="s">
        <v>207</v>
      </c>
      <c r="B29" s="177"/>
    </row>
    <row r="30" spans="1:2" ht="15.75" customHeight="1">
      <c r="A30" s="178" t="s">
        <v>214</v>
      </c>
      <c r="B30" s="179">
        <f>SUM(B28:B29)</f>
        <v>0</v>
      </c>
    </row>
    <row r="31" spans="1:2" customFormat="1" ht="15.75" customHeight="1"/>
    <row r="32" spans="1:2" ht="15.75" customHeight="1">
      <c r="A32" s="174" t="s">
        <v>109</v>
      </c>
      <c r="B32" s="181"/>
    </row>
    <row r="33" spans="1:2" ht="15.75" customHeight="1">
      <c r="A33" s="176" t="s">
        <v>50</v>
      </c>
      <c r="B33" s="177">
        <v>70000</v>
      </c>
    </row>
    <row r="34" spans="1:2" ht="15.75" customHeight="1">
      <c r="A34" s="178" t="s">
        <v>215</v>
      </c>
      <c r="B34" s="179">
        <f>B33</f>
        <v>70000</v>
      </c>
    </row>
    <row r="35" spans="1:2" customFormat="1" ht="15.75" customHeight="1"/>
    <row r="36" spans="1:2" ht="15.75" customHeight="1">
      <c r="A36" s="183" t="s">
        <v>216</v>
      </c>
      <c r="B36" s="184">
        <f>B34+B30+B25</f>
        <v>70000</v>
      </c>
    </row>
  </sheetData>
  <sheetProtection algorithmName="SHA-512" hashValue="W0IGM8SQtQYW1GnBwbqa29UscFPgjZpH7VvOqJgpotB1HpI4xnXh9y94Xikf8PLrVkD0swSYRnYOHNZNjZMTxg==" saltValue="vt2HTOduwzBb0nOXsEryLQ==" spinCount="100000" sheet="1" objects="1" scenarios="1"/>
  <mergeCells count="1">
    <mergeCell ref="A1:B1"/>
  </mergeCells>
  <phoneticPr fontId="4" type="noConversion"/>
  <hyperlinks>
    <hyperlink ref="A10" location="Inventaire_Immobilisations!A1" display="Actifs immobilisés" xr:uid="{00000000-0004-0000-0A00-000000000000}"/>
  </hyperlinks>
  <printOptions horizontalCentered="1"/>
  <pageMargins left="0.39370078740157483" right="0.39370078740157483" top="0.39370078740157483" bottom="0.39370078740157483" header="0.51181102362204722" footer="0.39370078740157483"/>
  <pageSetup paperSize="9" scale="92" orientation="landscape" r:id="rId1"/>
  <headerFooter scaleWithDoc="0">
    <oddFooter>&amp;R8</oddFooter>
  </headerFooter>
  <drawing r:id="rId2"/>
  <legacyDrawing r:id="rId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theme="3"/>
    <pageSetUpPr fitToPage="1"/>
  </sheetPr>
  <dimension ref="A1:I32"/>
  <sheetViews>
    <sheetView showZeros="0" topLeftCell="A7" workbookViewId="0">
      <selection activeCell="A15" sqref="A15:C15"/>
    </sheetView>
  </sheetViews>
  <sheetFormatPr baseColWidth="10" defaultColWidth="10.88671875" defaultRowHeight="13.8"/>
  <cols>
    <col min="1" max="1" width="66.33203125" style="18" customWidth="1"/>
    <col min="2" max="6" width="14.88671875" style="18" customWidth="1"/>
    <col min="7" max="256" width="9.109375" style="18" customWidth="1"/>
    <col min="257" max="16384" width="10.88671875" style="18"/>
  </cols>
  <sheetData>
    <row r="1" spans="1:9" ht="36" customHeight="1">
      <c r="A1" s="385" t="s">
        <v>260</v>
      </c>
      <c r="B1" s="386"/>
      <c r="C1" s="386"/>
      <c r="D1" s="386"/>
      <c r="E1" s="386"/>
      <c r="F1" s="387"/>
      <c r="I1" s="98">
        <f>Informations!B27</f>
        <v>12</v>
      </c>
    </row>
    <row r="2" spans="1:9" s="132" customFormat="1">
      <c r="A2" s="130" t="s">
        <v>42</v>
      </c>
      <c r="B2" s="131" t="s">
        <v>110</v>
      </c>
      <c r="C2" s="131" t="s">
        <v>37</v>
      </c>
      <c r="D2" s="131" t="s">
        <v>38</v>
      </c>
      <c r="E2" s="131" t="s">
        <v>39</v>
      </c>
      <c r="F2" s="131" t="s">
        <v>40</v>
      </c>
    </row>
    <row r="3" spans="1:9" s="132" customFormat="1">
      <c r="A3" s="264" t="s">
        <v>444</v>
      </c>
      <c r="B3" s="265">
        <v>3500</v>
      </c>
      <c r="C3" s="265">
        <v>5</v>
      </c>
      <c r="D3" s="101">
        <f>IF(A3&lt;&gt;"",1/C3,"")</f>
        <v>0.2</v>
      </c>
      <c r="E3" s="102">
        <f>IF(A3&lt;&gt;"",B3*D3,"")</f>
        <v>700</v>
      </c>
      <c r="F3" s="102">
        <f>IF(A3&lt;&gt;"",E3/12*$I$1,"")</f>
        <v>700</v>
      </c>
    </row>
    <row r="4" spans="1:9" s="132" customFormat="1">
      <c r="A4" s="99"/>
      <c r="B4" s="100"/>
      <c r="C4" s="100"/>
      <c r="D4" s="101" t="str">
        <f>IF(A4&lt;&gt;"",1/C4,"")</f>
        <v/>
      </c>
      <c r="E4" s="102" t="str">
        <f>IF(A4&lt;&gt;"",B4*D4,"")</f>
        <v/>
      </c>
      <c r="F4" s="102" t="str">
        <f>IF(A4&lt;&gt;"",E4/12*$I$1,"")</f>
        <v/>
      </c>
    </row>
    <row r="5" spans="1:9" s="132" customFormat="1">
      <c r="A5" s="99"/>
      <c r="B5" s="100"/>
      <c r="C5" s="100"/>
      <c r="D5" s="101" t="str">
        <f>IF(A5&lt;&gt;"",1/C5,"")</f>
        <v/>
      </c>
      <c r="E5" s="102" t="str">
        <f>IF(A5&lt;&gt;"",B5*D5,"")</f>
        <v/>
      </c>
      <c r="F5" s="102" t="str">
        <f>IF(A5&lt;&gt;"",E5/12*$I$1,"")</f>
        <v/>
      </c>
    </row>
    <row r="6" spans="1:9" s="132" customFormat="1">
      <c r="A6" s="99"/>
      <c r="B6" s="100"/>
      <c r="C6" s="100"/>
      <c r="D6" s="101" t="str">
        <f>IF(A6&lt;&gt;"",1/C6,"")</f>
        <v/>
      </c>
      <c r="E6" s="102" t="str">
        <f>IF(A6&lt;&gt;"",B6*D6,"")</f>
        <v/>
      </c>
      <c r="F6" s="102" t="str">
        <f>IF(A6&lt;&gt;"",E6/12*$I$1,"")</f>
        <v/>
      </c>
    </row>
    <row r="7" spans="1:9" s="132" customFormat="1">
      <c r="A7" s="157" t="s">
        <v>41</v>
      </c>
      <c r="B7" s="186">
        <f>SUM(B3:B6)</f>
        <v>3500</v>
      </c>
      <c r="C7" s="186"/>
      <c r="D7" s="186"/>
      <c r="E7" s="186">
        <f>SUM(E3:E6)</f>
        <v>700</v>
      </c>
      <c r="F7" s="186">
        <f>SUM(F3:F6)</f>
        <v>700</v>
      </c>
    </row>
    <row r="8" spans="1:9" s="132" customFormat="1">
      <c r="A8" s="130" t="s">
        <v>163</v>
      </c>
      <c r="B8" s="131" t="s">
        <v>110</v>
      </c>
      <c r="C8" s="131" t="s">
        <v>37</v>
      </c>
      <c r="D8" s="131" t="s">
        <v>38</v>
      </c>
      <c r="E8" s="131" t="s">
        <v>39</v>
      </c>
      <c r="F8" s="131" t="s">
        <v>40</v>
      </c>
    </row>
    <row r="9" spans="1:9" s="132" customFormat="1">
      <c r="A9" s="264" t="s">
        <v>445</v>
      </c>
      <c r="B9" s="265">
        <v>3000</v>
      </c>
      <c r="C9" s="265">
        <v>10</v>
      </c>
      <c r="D9" s="101">
        <f>IF(A9&lt;&gt;"",1/C9,0)</f>
        <v>0.1</v>
      </c>
      <c r="E9" s="102">
        <f>IF(A9&lt;&gt;"",B9*D9,"")</f>
        <v>300</v>
      </c>
      <c r="F9" s="102">
        <f>IF(A9&lt;&gt;"",E9/12*$I$1,"")</f>
        <v>300</v>
      </c>
    </row>
    <row r="10" spans="1:9" s="132" customFormat="1">
      <c r="A10" s="264" t="s">
        <v>446</v>
      </c>
      <c r="B10" s="265">
        <v>6000</v>
      </c>
      <c r="C10" s="265">
        <v>4</v>
      </c>
      <c r="D10" s="101">
        <f>IF(A10&lt;&gt;"",1/C10,0)</f>
        <v>0.25</v>
      </c>
      <c r="E10" s="102">
        <f>IF(A10&lt;&gt;"",B10*D10,"")</f>
        <v>1500</v>
      </c>
      <c r="F10" s="102">
        <f>IF(A10&lt;&gt;"",E10/12*$I$1,"")</f>
        <v>1500</v>
      </c>
    </row>
    <row r="11" spans="1:9" s="132" customFormat="1">
      <c r="A11" s="99"/>
      <c r="B11" s="100"/>
      <c r="C11" s="100"/>
      <c r="D11" s="101">
        <f>IF(A11&lt;&gt;"",1/C11,0)</f>
        <v>0</v>
      </c>
      <c r="E11" s="102" t="str">
        <f>IF(A11&lt;&gt;"",B11*D11,"")</f>
        <v/>
      </c>
      <c r="F11" s="102" t="str">
        <f>IF(A11&lt;&gt;"",E11/12*$I$1,"")</f>
        <v/>
      </c>
    </row>
    <row r="12" spans="1:9" s="132" customFormat="1">
      <c r="A12" s="99"/>
      <c r="B12" s="100"/>
      <c r="C12" s="100"/>
      <c r="D12" s="101">
        <f>IF(A12&lt;&gt;"",1/C12,0)</f>
        <v>0</v>
      </c>
      <c r="E12" s="102" t="str">
        <f>IF(A12&lt;&gt;"",B12*D12,"")</f>
        <v/>
      </c>
      <c r="F12" s="102" t="str">
        <f>IF(A12&lt;&gt;"",E12/12*$I$1,"")</f>
        <v/>
      </c>
    </row>
    <row r="13" spans="1:9" s="132" customFormat="1">
      <c r="A13" s="157" t="s">
        <v>43</v>
      </c>
      <c r="B13" s="186">
        <f>SUM(B9:B12)</f>
        <v>9000</v>
      </c>
      <c r="C13" s="186"/>
      <c r="D13" s="186"/>
      <c r="E13" s="186">
        <f>SUM(E9:E12)</f>
        <v>1800</v>
      </c>
      <c r="F13" s="186">
        <f>SUM(F9:F12)</f>
        <v>1800</v>
      </c>
    </row>
    <row r="14" spans="1:9" s="132" customFormat="1">
      <c r="A14" s="130" t="s">
        <v>46</v>
      </c>
      <c r="B14" s="131" t="s">
        <v>110</v>
      </c>
      <c r="C14" s="131" t="s">
        <v>37</v>
      </c>
      <c r="D14" s="131" t="s">
        <v>38</v>
      </c>
      <c r="E14" s="131" t="s">
        <v>39</v>
      </c>
      <c r="F14" s="131" t="s">
        <v>40</v>
      </c>
    </row>
    <row r="15" spans="1:9" s="132" customFormat="1">
      <c r="A15" s="264" t="s">
        <v>447</v>
      </c>
      <c r="B15" s="265">
        <v>26000</v>
      </c>
      <c r="C15" s="265">
        <v>8</v>
      </c>
      <c r="D15" s="101">
        <f>IF(A15&lt;&gt;"",1/C15,"")</f>
        <v>0.125</v>
      </c>
      <c r="E15" s="102">
        <f>IF(A15&lt;&gt;"",B15*D15,"")</f>
        <v>3250</v>
      </c>
      <c r="F15" s="102">
        <f>IF(A15&lt;&gt;"",E15/12*$I$1,"")</f>
        <v>3250</v>
      </c>
    </row>
    <row r="16" spans="1:9" s="132" customFormat="1">
      <c r="A16" s="99"/>
      <c r="B16" s="100"/>
      <c r="C16" s="100"/>
      <c r="D16" s="101" t="str">
        <f>IF(A16&lt;&gt;"",1/C16,"")</f>
        <v/>
      </c>
      <c r="E16" s="102" t="str">
        <f>IF(A16&lt;&gt;"",B16*D16,"")</f>
        <v/>
      </c>
      <c r="F16" s="102" t="str">
        <f>IF(A16&lt;&gt;"",E16/12*$I$1,"")</f>
        <v/>
      </c>
    </row>
    <row r="17" spans="1:6" s="132" customFormat="1">
      <c r="A17" s="99"/>
      <c r="B17" s="100"/>
      <c r="C17" s="100"/>
      <c r="D17" s="101" t="str">
        <f>IF(A17&lt;&gt;"",1/C17,"")</f>
        <v/>
      </c>
      <c r="E17" s="102" t="str">
        <f>IF(A17&lt;&gt;"",B17*D17,"")</f>
        <v/>
      </c>
      <c r="F17" s="102" t="str">
        <f>IF(A17&lt;&gt;"",E17/12*$I$1,"")</f>
        <v/>
      </c>
    </row>
    <row r="18" spans="1:6" s="132" customFormat="1">
      <c r="A18" s="99"/>
      <c r="B18" s="100"/>
      <c r="C18" s="100"/>
      <c r="D18" s="101" t="str">
        <f>IF(A18&lt;&gt;"",1/C18,"")</f>
        <v/>
      </c>
      <c r="E18" s="102" t="str">
        <f>IF(A18&lt;&gt;"",B18*D18,"")</f>
        <v/>
      </c>
      <c r="F18" s="102" t="str">
        <f>IF(A18&lt;&gt;"",E18/12*$I$1,"")</f>
        <v/>
      </c>
    </row>
    <row r="19" spans="1:6" s="132" customFormat="1">
      <c r="A19" s="157" t="s">
        <v>165</v>
      </c>
      <c r="B19" s="186">
        <f>SUM(B15:B18)</f>
        <v>26000</v>
      </c>
      <c r="C19" s="186"/>
      <c r="D19" s="186"/>
      <c r="E19" s="186">
        <f>SUM(E15:E18)</f>
        <v>3250</v>
      </c>
      <c r="F19" s="186">
        <f>SUM(F15:F18)</f>
        <v>3250</v>
      </c>
    </row>
    <row r="20" spans="1:6" s="132" customFormat="1">
      <c r="A20" s="130" t="s">
        <v>47</v>
      </c>
      <c r="B20" s="131" t="s">
        <v>110</v>
      </c>
      <c r="C20" s="131" t="s">
        <v>37</v>
      </c>
      <c r="D20" s="131" t="s">
        <v>38</v>
      </c>
      <c r="E20" s="131" t="s">
        <v>39</v>
      </c>
      <c r="F20" s="131" t="s">
        <v>40</v>
      </c>
    </row>
    <row r="21" spans="1:6" s="132" customFormat="1">
      <c r="A21" s="99"/>
      <c r="B21" s="100">
        <v>0</v>
      </c>
      <c r="C21" s="100">
        <v>0</v>
      </c>
      <c r="D21" s="101" t="str">
        <f>IF(A21&lt;&gt;"",1/C21,"")</f>
        <v/>
      </c>
      <c r="E21" s="102" t="str">
        <f>IF(A21&lt;&gt;"",B21*D21,"")</f>
        <v/>
      </c>
      <c r="F21" s="102" t="str">
        <f>IF(A21&lt;&gt;"",E21/12*$I$1,"")</f>
        <v/>
      </c>
    </row>
    <row r="22" spans="1:6" s="132" customFormat="1">
      <c r="A22" s="99"/>
      <c r="B22" s="100"/>
      <c r="C22" s="100">
        <v>0</v>
      </c>
      <c r="D22" s="101" t="str">
        <f>IF(A22&lt;&gt;"",1/C22,"")</f>
        <v/>
      </c>
      <c r="E22" s="102" t="str">
        <f>IF(A22&lt;&gt;"",B22*D22,"")</f>
        <v/>
      </c>
      <c r="F22" s="102" t="str">
        <f>IF(A22&lt;&gt;"",E22/12*$I$1,"")</f>
        <v/>
      </c>
    </row>
    <row r="23" spans="1:6" s="132" customFormat="1">
      <c r="A23" s="99"/>
      <c r="B23" s="100"/>
      <c r="C23" s="100"/>
      <c r="D23" s="101" t="str">
        <f>IF(A23&lt;&gt;"",1/C23,"")</f>
        <v/>
      </c>
      <c r="E23" s="102" t="str">
        <f>IF(A23&lt;&gt;"",B23*D23,"")</f>
        <v/>
      </c>
      <c r="F23" s="102" t="str">
        <f>IF(A23&lt;&gt;"",E23/12*$I$1,"")</f>
        <v/>
      </c>
    </row>
    <row r="24" spans="1:6" s="132" customFormat="1">
      <c r="A24" s="99"/>
      <c r="B24" s="100"/>
      <c r="C24" s="100"/>
      <c r="D24" s="101" t="str">
        <f>IF(A24&lt;&gt;"",1/C24,"")</f>
        <v/>
      </c>
      <c r="E24" s="102" t="str">
        <f>IF(A24&lt;&gt;"",B24*D24,"")</f>
        <v/>
      </c>
      <c r="F24" s="102" t="str">
        <f>IF(A24&lt;&gt;"",E24/12*$I$1,"")</f>
        <v/>
      </c>
    </row>
    <row r="25" spans="1:6" s="132" customFormat="1">
      <c r="A25" s="157" t="s">
        <v>166</v>
      </c>
      <c r="B25" s="186">
        <f>SUM(B21:B24)</f>
        <v>0</v>
      </c>
      <c r="C25" s="186"/>
      <c r="D25" s="186"/>
      <c r="E25" s="186">
        <f>SUM(E21:E24)</f>
        <v>0</v>
      </c>
      <c r="F25" s="186">
        <f>SUM(F21:F24)</f>
        <v>0</v>
      </c>
    </row>
    <row r="26" spans="1:6" s="132" customFormat="1">
      <c r="A26" s="130" t="s">
        <v>190</v>
      </c>
      <c r="B26" s="131" t="s">
        <v>110</v>
      </c>
      <c r="C26" s="131" t="s">
        <v>37</v>
      </c>
      <c r="D26" s="131" t="s">
        <v>38</v>
      </c>
      <c r="E26" s="131" t="s">
        <v>39</v>
      </c>
      <c r="F26" s="131" t="s">
        <v>40</v>
      </c>
    </row>
    <row r="27" spans="1:6" s="132" customFormat="1">
      <c r="A27" s="99"/>
      <c r="B27" s="100"/>
      <c r="C27" s="100"/>
      <c r="D27" s="101" t="str">
        <f>IF(A27&lt;&gt;"",1/C27,"")</f>
        <v/>
      </c>
      <c r="E27" s="102" t="str">
        <f>IF(A27&lt;&gt;"",B27*D27,"")</f>
        <v/>
      </c>
      <c r="F27" s="102" t="str">
        <f>IF(A27&lt;&gt;"",E27/12*$I$1,"")</f>
        <v/>
      </c>
    </row>
    <row r="28" spans="1:6" s="132" customFormat="1">
      <c r="A28" s="99"/>
      <c r="B28" s="100"/>
      <c r="C28" s="100"/>
      <c r="D28" s="101" t="str">
        <f>IF(A28&lt;&gt;"",1/C28,"")</f>
        <v/>
      </c>
      <c r="E28" s="102" t="str">
        <f>IF(A28&lt;&gt;"",B28*D28,"")</f>
        <v/>
      </c>
      <c r="F28" s="102" t="str">
        <f>IF(A28&lt;&gt;"",E28/12*$I$1,"")</f>
        <v/>
      </c>
    </row>
    <row r="29" spans="1:6" s="132" customFormat="1">
      <c r="A29" s="99"/>
      <c r="B29" s="100"/>
      <c r="C29" s="100"/>
      <c r="D29" s="101" t="str">
        <f>IF(A29&lt;&gt;"",1/C29,"")</f>
        <v/>
      </c>
      <c r="E29" s="102" t="str">
        <f>IF(A29&lt;&gt;"",B29*D29,"")</f>
        <v/>
      </c>
      <c r="F29" s="102" t="str">
        <f>IF(A29&lt;&gt;"",E29/12*$I$1,"")</f>
        <v/>
      </c>
    </row>
    <row r="30" spans="1:6" s="132" customFormat="1">
      <c r="A30" s="99"/>
      <c r="B30" s="100"/>
      <c r="C30" s="100"/>
      <c r="D30" s="101" t="str">
        <f>IF(A30&lt;&gt;"",1/C30,"")</f>
        <v/>
      </c>
      <c r="E30" s="102" t="str">
        <f>IF(A30&lt;&gt;"",B30*D30,"")</f>
        <v/>
      </c>
      <c r="F30" s="102" t="str">
        <f>IF(A30&lt;&gt;"",E30/12*$I$1,"")</f>
        <v/>
      </c>
    </row>
    <row r="31" spans="1:6" s="132" customFormat="1">
      <c r="A31" s="157" t="s">
        <v>167</v>
      </c>
      <c r="B31" s="186">
        <f>SUM(B27:B30)</f>
        <v>0</v>
      </c>
      <c r="C31" s="186"/>
      <c r="D31" s="186"/>
      <c r="E31" s="186">
        <f>SUM(E27:E30)</f>
        <v>0</v>
      </c>
      <c r="F31" s="186">
        <f>SUM(F27:F30)</f>
        <v>0</v>
      </c>
    </row>
    <row r="32" spans="1:6" s="132" customFormat="1">
      <c r="A32" s="187" t="s">
        <v>152</v>
      </c>
      <c r="B32" s="188">
        <f>B7+B13+B19+B25+B31</f>
        <v>38500</v>
      </c>
      <c r="C32" s="188"/>
      <c r="D32" s="188"/>
      <c r="E32" s="188">
        <f>E7+E13+E19+E25+E31</f>
        <v>5750</v>
      </c>
      <c r="F32" s="188">
        <f>F7+F13+F19+F25+F31</f>
        <v>5750</v>
      </c>
    </row>
  </sheetData>
  <sheetProtection algorithmName="SHA-512" hashValue="EMu1RsRmPqmIHE4/jigW+sXhNdxHwtoEXAvGiKS8uVi4Gs20quCjorJKC++q2GGwLClg+JOJBFSU0k6HPvdRhw==" saltValue="hGgDdIb1jYiAhCrcR+5IWQ==" spinCount="100000" sheet="1" objects="1" scenarios="1"/>
  <mergeCells count="1">
    <mergeCell ref="A1:F1"/>
  </mergeCells>
  <phoneticPr fontId="4" type="noConversion"/>
  <printOptions horizontalCentered="1"/>
  <pageMargins left="0.39370078740157483" right="0.39370078740157483" top="0.39370078740157483" bottom="0.39370078740157483" header="0.51181102362204722" footer="0.39370078740157483"/>
  <pageSetup paperSize="9" orientation="landscape" r:id="rId1"/>
  <headerFooter scaleWithDoc="0">
    <oddFooter>&amp;R9</oddFooter>
  </headerFooter>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theme="3"/>
    <pageSetUpPr fitToPage="1"/>
  </sheetPr>
  <dimension ref="A1:I32"/>
  <sheetViews>
    <sheetView showZeros="0" workbookViewId="0">
      <selection activeCell="H15" sqref="H15"/>
    </sheetView>
  </sheetViews>
  <sheetFormatPr baseColWidth="10" defaultColWidth="10.88671875" defaultRowHeight="13.8"/>
  <cols>
    <col min="1" max="1" width="66.33203125" style="18" customWidth="1"/>
    <col min="2" max="6" width="14.88671875" style="18" customWidth="1"/>
    <col min="7" max="256" width="9.109375" style="18" customWidth="1"/>
    <col min="257" max="16384" width="10.88671875" style="18"/>
  </cols>
  <sheetData>
    <row r="1" spans="1:9" ht="36" customHeight="1">
      <c r="A1" s="385" t="s">
        <v>270</v>
      </c>
      <c r="B1" s="386"/>
      <c r="C1" s="386"/>
      <c r="D1" s="386"/>
      <c r="E1" s="386"/>
      <c r="F1" s="387"/>
      <c r="I1" s="98">
        <f>Informations!B27</f>
        <v>12</v>
      </c>
    </row>
    <row r="2" spans="1:9" s="132" customFormat="1">
      <c r="A2" s="130" t="s">
        <v>42</v>
      </c>
      <c r="B2" s="131" t="s">
        <v>110</v>
      </c>
      <c r="C2" s="131" t="s">
        <v>37</v>
      </c>
      <c r="D2" s="131" t="s">
        <v>38</v>
      </c>
      <c r="E2" s="131" t="s">
        <v>39</v>
      </c>
      <c r="F2" s="131" t="s">
        <v>40</v>
      </c>
    </row>
    <row r="3" spans="1:9" s="132" customFormat="1">
      <c r="A3" s="99"/>
      <c r="B3" s="100"/>
      <c r="C3" s="100"/>
      <c r="D3" s="101" t="str">
        <f>IF(A3&lt;&gt;"",1/C3,"")</f>
        <v/>
      </c>
      <c r="E3" s="102" t="str">
        <f>IF(A3&lt;&gt;"",B3*D3,"")</f>
        <v/>
      </c>
      <c r="F3" s="102" t="str">
        <f>IF(A3&lt;&gt;"",E3/12*$I$1,"")</f>
        <v/>
      </c>
    </row>
    <row r="4" spans="1:9" s="132" customFormat="1">
      <c r="A4" s="99"/>
      <c r="B4" s="100"/>
      <c r="C4" s="100"/>
      <c r="D4" s="101" t="str">
        <f>IF(A4&lt;&gt;"",1/C4,"")</f>
        <v/>
      </c>
      <c r="E4" s="102" t="str">
        <f>IF(A4&lt;&gt;"",B4*D4,"")</f>
        <v/>
      </c>
      <c r="F4" s="102" t="str">
        <f>IF(A4&lt;&gt;"",E4/12*$I$1,"")</f>
        <v/>
      </c>
    </row>
    <row r="5" spans="1:9" s="132" customFormat="1">
      <c r="A5" s="99"/>
      <c r="B5" s="100"/>
      <c r="C5" s="100"/>
      <c r="D5" s="101" t="str">
        <f>IF(A5&lt;&gt;"",1/C5,"")</f>
        <v/>
      </c>
      <c r="E5" s="102" t="str">
        <f>IF(A5&lt;&gt;"",B5*D5,"")</f>
        <v/>
      </c>
      <c r="F5" s="102" t="str">
        <f>IF(A5&lt;&gt;"",E5/12*$I$1,"")</f>
        <v/>
      </c>
    </row>
    <row r="6" spans="1:9" s="132" customFormat="1">
      <c r="A6" s="99"/>
      <c r="B6" s="100"/>
      <c r="C6" s="100"/>
      <c r="D6" s="101" t="str">
        <f>IF(A6&lt;&gt;"",1/C6,"")</f>
        <v/>
      </c>
      <c r="E6" s="102" t="str">
        <f>IF(A6&lt;&gt;"",B6*D6,"")</f>
        <v/>
      </c>
      <c r="F6" s="102" t="str">
        <f>IF(A6&lt;&gt;"",E6/12*$I$1,"")</f>
        <v/>
      </c>
    </row>
    <row r="7" spans="1:9" s="132" customFormat="1">
      <c r="A7" s="157" t="s">
        <v>41</v>
      </c>
      <c r="B7" s="186">
        <f>SUM(B3:B6)</f>
        <v>0</v>
      </c>
      <c r="C7" s="186"/>
      <c r="D7" s="186"/>
      <c r="E7" s="186">
        <f>SUM(E3:E6)</f>
        <v>0</v>
      </c>
      <c r="F7" s="186">
        <f>SUM(F3:F6)</f>
        <v>0</v>
      </c>
    </row>
    <row r="8" spans="1:9" s="132" customFormat="1">
      <c r="A8" s="130" t="s">
        <v>163</v>
      </c>
      <c r="B8" s="131" t="s">
        <v>110</v>
      </c>
      <c r="C8" s="131" t="s">
        <v>37</v>
      </c>
      <c r="D8" s="131" t="s">
        <v>38</v>
      </c>
      <c r="E8" s="131" t="s">
        <v>39</v>
      </c>
      <c r="F8" s="131" t="s">
        <v>40</v>
      </c>
    </row>
    <row r="9" spans="1:9" s="132" customFormat="1">
      <c r="A9" s="264" t="s">
        <v>448</v>
      </c>
      <c r="B9" s="265">
        <v>4000</v>
      </c>
      <c r="C9" s="265">
        <v>4</v>
      </c>
      <c r="D9" s="101">
        <f>IF(A9&lt;&gt;"",1/C9,"")</f>
        <v>0.25</v>
      </c>
      <c r="E9" s="102">
        <f>IF(A9&lt;&gt;"",B9*D9,"")</f>
        <v>1000</v>
      </c>
      <c r="F9" s="102">
        <f>IF(A9&lt;&gt;"",E9/12*$I$1,"")</f>
        <v>1000</v>
      </c>
    </row>
    <row r="10" spans="1:9" s="132" customFormat="1">
      <c r="A10" s="99"/>
      <c r="B10" s="100"/>
      <c r="C10" s="100"/>
      <c r="D10" s="101" t="str">
        <f>IF(A10&lt;&gt;"",1/C10,"")</f>
        <v/>
      </c>
      <c r="E10" s="102" t="str">
        <f>IF(A10&lt;&gt;"",B10*D10,"")</f>
        <v/>
      </c>
      <c r="F10" s="102" t="str">
        <f>IF(A10&lt;&gt;"",E10/12*$I$1,"")</f>
        <v/>
      </c>
    </row>
    <row r="11" spans="1:9" s="132" customFormat="1">
      <c r="A11" s="99"/>
      <c r="B11" s="100"/>
      <c r="C11" s="100"/>
      <c r="D11" s="101" t="str">
        <f>IF(A11&lt;&gt;"",1/C11,"")</f>
        <v/>
      </c>
      <c r="E11" s="102" t="str">
        <f>IF(A11&lt;&gt;"",B11*D11,"")</f>
        <v/>
      </c>
      <c r="F11" s="102" t="str">
        <f>IF(A11&lt;&gt;"",E11/12*$I$1,"")</f>
        <v/>
      </c>
    </row>
    <row r="12" spans="1:9" s="132" customFormat="1">
      <c r="A12" s="99"/>
      <c r="B12" s="100"/>
      <c r="C12" s="100"/>
      <c r="D12" s="101" t="str">
        <f>IF(A12&lt;&gt;"",1/C12,"")</f>
        <v/>
      </c>
      <c r="E12" s="102" t="str">
        <f>IF(A12&lt;&gt;"",B12*D12,"")</f>
        <v/>
      </c>
      <c r="F12" s="102" t="str">
        <f>IF(A12&lt;&gt;"",E12/12*$I$1,"")</f>
        <v/>
      </c>
    </row>
    <row r="13" spans="1:9" s="132" customFormat="1">
      <c r="A13" s="157" t="s">
        <v>43</v>
      </c>
      <c r="B13" s="186">
        <f>SUM(B9:B12)</f>
        <v>4000</v>
      </c>
      <c r="C13" s="186"/>
      <c r="D13" s="186"/>
      <c r="E13" s="186">
        <f>SUM(E9:E12)</f>
        <v>1000</v>
      </c>
      <c r="F13" s="186">
        <f>SUM(F9:F12)</f>
        <v>1000</v>
      </c>
    </row>
    <row r="14" spans="1:9" s="132" customFormat="1">
      <c r="A14" s="130" t="s">
        <v>46</v>
      </c>
      <c r="B14" s="131" t="s">
        <v>110</v>
      </c>
      <c r="C14" s="131" t="s">
        <v>37</v>
      </c>
      <c r="D14" s="131" t="s">
        <v>38</v>
      </c>
      <c r="E14" s="131" t="s">
        <v>39</v>
      </c>
      <c r="F14" s="131" t="s">
        <v>40</v>
      </c>
    </row>
    <row r="15" spans="1:9" s="132" customFormat="1">
      <c r="A15" s="99"/>
      <c r="B15" s="100"/>
      <c r="C15" s="100"/>
      <c r="D15" s="101" t="str">
        <f>IF(A15&lt;&gt;"",1/C15,"")</f>
        <v/>
      </c>
      <c r="E15" s="102" t="str">
        <f>IF(A15&lt;&gt;"",B15*D15,"")</f>
        <v/>
      </c>
      <c r="F15" s="102" t="str">
        <f>IF(A15&lt;&gt;"",E15/12*$I$1,"")</f>
        <v/>
      </c>
    </row>
    <row r="16" spans="1:9" s="132" customFormat="1">
      <c r="A16" s="99"/>
      <c r="B16" s="100"/>
      <c r="C16" s="100"/>
      <c r="D16" s="101" t="str">
        <f>IF(A16&lt;&gt;"",1/C16,"")</f>
        <v/>
      </c>
      <c r="E16" s="102" t="str">
        <f>IF(A16&lt;&gt;"",B16*D16,"")</f>
        <v/>
      </c>
      <c r="F16" s="102" t="str">
        <f>IF(A16&lt;&gt;"",E16/12*$I$1,"")</f>
        <v/>
      </c>
    </row>
    <row r="17" spans="1:6" s="132" customFormat="1">
      <c r="A17" s="99"/>
      <c r="B17" s="100"/>
      <c r="C17" s="100"/>
      <c r="D17" s="101" t="str">
        <f>IF(A17&lt;&gt;"",1/C17,"")</f>
        <v/>
      </c>
      <c r="E17" s="102" t="str">
        <f>IF(A17&lt;&gt;"",B17*D17,"")</f>
        <v/>
      </c>
      <c r="F17" s="102" t="str">
        <f>IF(A17&lt;&gt;"",E17/12*$I$1,"")</f>
        <v/>
      </c>
    </row>
    <row r="18" spans="1:6" s="132" customFormat="1">
      <c r="A18" s="99"/>
      <c r="B18" s="100"/>
      <c r="C18" s="100"/>
      <c r="D18" s="101" t="str">
        <f>IF(A18&lt;&gt;"",1/C18,"")</f>
        <v/>
      </c>
      <c r="E18" s="102" t="str">
        <f>IF(A18&lt;&gt;"",B18*D18,"")</f>
        <v/>
      </c>
      <c r="F18" s="102" t="str">
        <f>IF(A18&lt;&gt;"",E18/12*$I$1,"")</f>
        <v/>
      </c>
    </row>
    <row r="19" spans="1:6" s="132" customFormat="1">
      <c r="A19" s="157" t="s">
        <v>165</v>
      </c>
      <c r="B19" s="186">
        <f>SUM(B15:B18)</f>
        <v>0</v>
      </c>
      <c r="C19" s="186"/>
      <c r="D19" s="186"/>
      <c r="E19" s="186">
        <f>SUM(E15:E18)</f>
        <v>0</v>
      </c>
      <c r="F19" s="186">
        <f>SUM(F15:F18)</f>
        <v>0</v>
      </c>
    </row>
    <row r="20" spans="1:6" s="132" customFormat="1">
      <c r="A20" s="130" t="s">
        <v>47</v>
      </c>
      <c r="B20" s="131" t="s">
        <v>110</v>
      </c>
      <c r="C20" s="131" t="s">
        <v>37</v>
      </c>
      <c r="D20" s="131" t="s">
        <v>38</v>
      </c>
      <c r="E20" s="131" t="s">
        <v>39</v>
      </c>
      <c r="F20" s="131" t="s">
        <v>40</v>
      </c>
    </row>
    <row r="21" spans="1:6" s="132" customFormat="1">
      <c r="A21" s="99"/>
      <c r="B21" s="100"/>
      <c r="C21" s="100"/>
      <c r="D21" s="101" t="str">
        <f>IF(A21&lt;&gt;"",1/C21,"")</f>
        <v/>
      </c>
      <c r="E21" s="102" t="str">
        <f>IF(A21&lt;&gt;"",B21*D21,"")</f>
        <v/>
      </c>
      <c r="F21" s="102" t="str">
        <f>IF(A21&lt;&gt;"",E21/12*$I$1,"")</f>
        <v/>
      </c>
    </row>
    <row r="22" spans="1:6" s="132" customFormat="1">
      <c r="A22" s="99"/>
      <c r="B22" s="100"/>
      <c r="C22" s="100"/>
      <c r="D22" s="101" t="str">
        <f>IF(A22&lt;&gt;"",1/C22,"")</f>
        <v/>
      </c>
      <c r="E22" s="102" t="str">
        <f>IF(A22&lt;&gt;"",B22*D22,"")</f>
        <v/>
      </c>
      <c r="F22" s="102" t="str">
        <f>IF(A22&lt;&gt;"",E22/12*$I$1,"")</f>
        <v/>
      </c>
    </row>
    <row r="23" spans="1:6" s="132" customFormat="1">
      <c r="A23" s="99"/>
      <c r="B23" s="100"/>
      <c r="C23" s="100"/>
      <c r="D23" s="101" t="str">
        <f>IF(A23&lt;&gt;"",1/C23,"")</f>
        <v/>
      </c>
      <c r="E23" s="102" t="str">
        <f>IF(A23&lt;&gt;"",B23*D23,"")</f>
        <v/>
      </c>
      <c r="F23" s="102" t="str">
        <f>IF(A23&lt;&gt;"",E23/12*$I$1,"")</f>
        <v/>
      </c>
    </row>
    <row r="24" spans="1:6" s="132" customFormat="1">
      <c r="A24" s="99"/>
      <c r="B24" s="100"/>
      <c r="C24" s="100"/>
      <c r="D24" s="101" t="str">
        <f>IF(A24&lt;&gt;"",1/C24,"")</f>
        <v/>
      </c>
      <c r="E24" s="102" t="str">
        <f>IF(A24&lt;&gt;"",B24*D24,"")</f>
        <v/>
      </c>
      <c r="F24" s="102" t="str">
        <f>IF(A24&lt;&gt;"",E24/12*$I$1,"")</f>
        <v/>
      </c>
    </row>
    <row r="25" spans="1:6" s="132" customFormat="1">
      <c r="A25" s="157" t="s">
        <v>166</v>
      </c>
      <c r="B25" s="186">
        <f>SUM(B21:B24)</f>
        <v>0</v>
      </c>
      <c r="C25" s="186"/>
      <c r="D25" s="186"/>
      <c r="E25" s="186">
        <f>SUM(E21:E24)</f>
        <v>0</v>
      </c>
      <c r="F25" s="186">
        <f>SUM(F21:F24)</f>
        <v>0</v>
      </c>
    </row>
    <row r="26" spans="1:6" s="132" customFormat="1">
      <c r="A26" s="130" t="s">
        <v>190</v>
      </c>
      <c r="B26" s="131" t="s">
        <v>110</v>
      </c>
      <c r="C26" s="131" t="s">
        <v>37</v>
      </c>
      <c r="D26" s="131" t="s">
        <v>38</v>
      </c>
      <c r="E26" s="131" t="s">
        <v>39</v>
      </c>
      <c r="F26" s="131" t="s">
        <v>40</v>
      </c>
    </row>
    <row r="27" spans="1:6" s="132" customFormat="1">
      <c r="A27" s="99"/>
      <c r="B27" s="100"/>
      <c r="C27" s="100"/>
      <c r="D27" s="101" t="str">
        <f>IF(A27&lt;&gt;"",1/C27,"")</f>
        <v/>
      </c>
      <c r="E27" s="102" t="str">
        <f>IF(A27&lt;&gt;"",B27*D27,"")</f>
        <v/>
      </c>
      <c r="F27" s="102" t="str">
        <f>IF(A27&lt;&gt;"",E27/12*$I$1,"")</f>
        <v/>
      </c>
    </row>
    <row r="28" spans="1:6" s="132" customFormat="1">
      <c r="A28" s="99"/>
      <c r="B28" s="100"/>
      <c r="C28" s="100"/>
      <c r="D28" s="101" t="str">
        <f>IF(A28&lt;&gt;"",1/C28,"")</f>
        <v/>
      </c>
      <c r="E28" s="102" t="str">
        <f>IF(A28&lt;&gt;"",B28*D28,"")</f>
        <v/>
      </c>
      <c r="F28" s="102" t="str">
        <f>IF(A28&lt;&gt;"",E28/12*$I$1,"")</f>
        <v/>
      </c>
    </row>
    <row r="29" spans="1:6" s="132" customFormat="1">
      <c r="A29" s="99"/>
      <c r="B29" s="100"/>
      <c r="C29" s="100"/>
      <c r="D29" s="101" t="str">
        <f>IF(A29&lt;&gt;"",1/C29,"")</f>
        <v/>
      </c>
      <c r="E29" s="102" t="str">
        <f>IF(A29&lt;&gt;"",B29*D29,"")</f>
        <v/>
      </c>
      <c r="F29" s="102" t="str">
        <f>IF(A29&lt;&gt;"",E29/12*$I$1,"")</f>
        <v/>
      </c>
    </row>
    <row r="30" spans="1:6" s="132" customFormat="1">
      <c r="A30" s="99"/>
      <c r="B30" s="100"/>
      <c r="C30" s="100"/>
      <c r="D30" s="101" t="str">
        <f>IF(A30&lt;&gt;"",1/C30,"")</f>
        <v/>
      </c>
      <c r="E30" s="102" t="str">
        <f>IF(A30&lt;&gt;"",B30*D30,"")</f>
        <v/>
      </c>
      <c r="F30" s="102" t="str">
        <f>IF(A30&lt;&gt;"",E30/12*$I$1,"")</f>
        <v/>
      </c>
    </row>
    <row r="31" spans="1:6" s="132" customFormat="1">
      <c r="A31" s="157" t="s">
        <v>167</v>
      </c>
      <c r="B31" s="186">
        <f>SUM(B27:B30)</f>
        <v>0</v>
      </c>
      <c r="C31" s="186"/>
      <c r="D31" s="186"/>
      <c r="E31" s="186">
        <f>SUM(E27:E30)</f>
        <v>0</v>
      </c>
      <c r="F31" s="186">
        <f>SUM(F27:F30)</f>
        <v>0</v>
      </c>
    </row>
    <row r="32" spans="1:6" s="132" customFormat="1">
      <c r="A32" s="187" t="s">
        <v>153</v>
      </c>
      <c r="B32" s="188">
        <f>B7+B13+B19+B25+B31</f>
        <v>4000</v>
      </c>
      <c r="C32" s="188"/>
      <c r="D32" s="188"/>
      <c r="E32" s="188">
        <f>E7+E13+E19+E25+E31</f>
        <v>1000</v>
      </c>
      <c r="F32" s="188">
        <f>F7+F13+F19+F25+F31</f>
        <v>1000</v>
      </c>
    </row>
  </sheetData>
  <sheetProtection algorithmName="SHA-512" hashValue="z8rugJnaknH8jWtDBJ5F7iduap5eNupsVSBZ+DU4jWy88SxaGqzxODNUYG/1cSO7YbqoMmZoksU/3KqmtqWNzw==" saltValue="bnZUG9yka7qJqiTc2WTjPA==" spinCount="100000" sheet="1" objects="1" scenarios="1"/>
  <mergeCells count="1">
    <mergeCell ref="A1:F1"/>
  </mergeCells>
  <phoneticPr fontId="4" type="noConversion"/>
  <printOptions horizontalCentered="1"/>
  <pageMargins left="0.39370078740157483" right="0.39370078740157483" top="0.39370078740157483" bottom="0.39370078740157483" header="0.51181102362204722" footer="0.39370078740157483"/>
  <pageSetup paperSize="9" orientation="landscape" r:id="rId1"/>
  <headerFooter scaleWithDoc="0">
    <oddFooter>&amp;R10</oddFooter>
  </headerFooter>
  <drawing r:id="rId2"/>
  <legacyDrawing r:id="rId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theme="3"/>
  </sheetPr>
  <dimension ref="A1:N37"/>
  <sheetViews>
    <sheetView showZeros="0" workbookViewId="0">
      <selection activeCell="G35" sqref="G35"/>
    </sheetView>
  </sheetViews>
  <sheetFormatPr baseColWidth="10" defaultColWidth="9.109375" defaultRowHeight="13.8"/>
  <cols>
    <col min="1" max="1" width="49.44140625" style="21" customWidth="1"/>
    <col min="2" max="8" width="13.109375" style="21" customWidth="1"/>
    <col min="9" max="16384" width="9.109375" style="21"/>
  </cols>
  <sheetData>
    <row r="1" spans="1:14" ht="36" customHeight="1">
      <c r="A1" s="390" t="s">
        <v>158</v>
      </c>
      <c r="B1" s="390"/>
      <c r="C1" s="390"/>
      <c r="D1" s="390"/>
      <c r="E1" s="390"/>
      <c r="F1" s="390"/>
      <c r="G1" s="390"/>
      <c r="H1" s="390"/>
      <c r="J1" s="395" t="s">
        <v>247</v>
      </c>
      <c r="K1" s="395"/>
      <c r="L1" s="395"/>
    </row>
    <row r="2" spans="1:14">
      <c r="A2" s="103"/>
      <c r="B2" s="104"/>
      <c r="C2" s="105"/>
    </row>
    <row r="3" spans="1:14">
      <c r="A3" s="133" t="s">
        <v>168</v>
      </c>
      <c r="B3" s="396" t="s">
        <v>108</v>
      </c>
      <c r="C3" s="396"/>
      <c r="D3" s="134" t="str">
        <f>IF(Produits_prestations!A5="","",Produits_prestations!A5)</f>
        <v xml:space="preserve">Rédaction </v>
      </c>
      <c r="E3" s="134" t="str">
        <f>IF(Produits_prestations!A6="","",Produits_prestations!A6)</f>
        <v xml:space="preserve">Représentation </v>
      </c>
      <c r="F3" s="134" t="str">
        <f>IF(Produits_prestations!A7="","",Produits_prestations!A7)</f>
        <v>Livres</v>
      </c>
      <c r="G3" s="134" t="str">
        <f>IF(Produits_prestations!A8="","",Produits_prestations!A8)</f>
        <v/>
      </c>
      <c r="H3" s="134" t="str">
        <f>IF(Produits_prestations!A9="","",Produits_prestations!A9)</f>
        <v/>
      </c>
    </row>
    <row r="4" spans="1:14" ht="12.75" customHeight="1">
      <c r="A4" s="135" t="s">
        <v>344</v>
      </c>
      <c r="B4" s="397">
        <f>IF(B28=0,0,IF(J1="Simulation seuil de rentabilité",B28*100/B8,SUM(D4:H4)))</f>
        <v>463620.85106382979</v>
      </c>
      <c r="C4" s="397"/>
      <c r="D4" s="106">
        <f>IF(J1="Simulation seuil de rentabilité",$B$4*D5/100,0)</f>
        <v>92724.170212765952</v>
      </c>
      <c r="E4" s="106">
        <f>IF(J1="Simulation seuil de rentabilité",$B$4*E5/100,0)</f>
        <v>115905.21276595745</v>
      </c>
      <c r="F4" s="106">
        <f>IF(J1="Simulation seuil de rentabilité",$B$4*F5/100,0)</f>
        <v>254991.46808510637</v>
      </c>
      <c r="G4" s="107">
        <f>IF(J1="Simulation seuil de rentabilité",$B$4*G5/100,0)</f>
        <v>0</v>
      </c>
      <c r="H4" s="107">
        <f>IF(J1="Simulation seuil de rentabilité",$B$4*H5/100,0)</f>
        <v>0</v>
      </c>
      <c r="K4" s="108" t="s">
        <v>247</v>
      </c>
    </row>
    <row r="5" spans="1:14">
      <c r="A5" s="135" t="s">
        <v>172</v>
      </c>
      <c r="B5" s="398">
        <f>SUM(D5:H5)</f>
        <v>100</v>
      </c>
      <c r="C5" s="398"/>
      <c r="D5" s="136">
        <f>Produits_prestations!B13</f>
        <v>20</v>
      </c>
      <c r="E5" s="136">
        <f>Produits_prestations!B14</f>
        <v>25</v>
      </c>
      <c r="F5" s="136">
        <f>Produits_prestations!B15</f>
        <v>55</v>
      </c>
      <c r="G5" s="136">
        <f>Produits_prestations!B16</f>
        <v>0</v>
      </c>
      <c r="H5" s="136">
        <f>Produits_prestations!B17</f>
        <v>0</v>
      </c>
      <c r="K5" s="108" t="s">
        <v>248</v>
      </c>
    </row>
    <row r="6" spans="1:14">
      <c r="A6" s="135" t="s">
        <v>160</v>
      </c>
      <c r="B6" s="394">
        <f>IF(ISERROR(B4),0,(100-B8)*B4/100)</f>
        <v>191243.60106382976</v>
      </c>
      <c r="C6" s="394"/>
      <c r="D6" s="137">
        <f>IF(ISERROR(D4),0,(100-D8)*D4/100)</f>
        <v>0</v>
      </c>
      <c r="E6" s="137">
        <f>IF(ISERROR(E4),0,(100-E8)*E4/100)</f>
        <v>0</v>
      </c>
      <c r="F6" s="137">
        <f>IF(ISERROR(F4),0,(100-F8)*F4/100)</f>
        <v>191243.60106382976</v>
      </c>
      <c r="G6" s="137">
        <f>IF(ISERROR(G4),0,(100-G8)*G4/100)</f>
        <v>0</v>
      </c>
      <c r="H6" s="137">
        <f>IF(ISERROR(H4),0,(100-H8)*H4/100)</f>
        <v>0</v>
      </c>
    </row>
    <row r="7" spans="1:14">
      <c r="A7" s="138" t="s">
        <v>51</v>
      </c>
      <c r="B7" s="388">
        <f>IF(ISERROR(B4),0,B4-B6)</f>
        <v>272377.25</v>
      </c>
      <c r="C7" s="388"/>
      <c r="D7" s="139">
        <f>IF(ISERROR(D4),0,D4-D6)</f>
        <v>92724.170212765952</v>
      </c>
      <c r="E7" s="139">
        <f>IF(ISERROR(E4),0,E4-E6)</f>
        <v>115905.21276595745</v>
      </c>
      <c r="F7" s="139">
        <f>IF(ISERROR(F4),0,F4-F6)</f>
        <v>63747.867021276616</v>
      </c>
      <c r="G7" s="139">
        <f>IF(ISERROR(G4),0,G4-G6)</f>
        <v>0</v>
      </c>
      <c r="H7" s="139">
        <f>IF(ISERROR(H4),0,H4-H6)</f>
        <v>0</v>
      </c>
    </row>
    <row r="8" spans="1:14">
      <c r="A8" s="135" t="s">
        <v>194</v>
      </c>
      <c r="B8" s="389">
        <f>SUM(J10:N10)/100</f>
        <v>58.75</v>
      </c>
      <c r="C8" s="389"/>
      <c r="D8" s="136">
        <f>Produits_prestations!C13</f>
        <v>100</v>
      </c>
      <c r="E8" s="136">
        <f>Produits_prestations!C14</f>
        <v>100</v>
      </c>
      <c r="F8" s="136">
        <f>Produits_prestations!C15</f>
        <v>25</v>
      </c>
      <c r="G8" s="137">
        <f>Produits_prestations!C16</f>
        <v>0</v>
      </c>
      <c r="H8" s="137">
        <f>Produits_prestations!C17</f>
        <v>0</v>
      </c>
    </row>
    <row r="9" spans="1:14">
      <c r="A9" s="109"/>
      <c r="B9" s="110"/>
      <c r="D9" s="111"/>
      <c r="E9" s="111"/>
      <c r="F9" s="111"/>
      <c r="G9" s="111"/>
      <c r="H9" s="111"/>
    </row>
    <row r="10" spans="1:14">
      <c r="A10" s="140" t="s">
        <v>169</v>
      </c>
      <c r="B10" s="141" t="s">
        <v>210</v>
      </c>
      <c r="C10" s="141" t="s">
        <v>170</v>
      </c>
      <c r="D10" s="141" t="s">
        <v>304</v>
      </c>
      <c r="J10" s="108">
        <f>D5*D8</f>
        <v>2000</v>
      </c>
      <c r="K10" s="108">
        <f>E5*E8</f>
        <v>2500</v>
      </c>
      <c r="L10" s="108">
        <f>F5*F8</f>
        <v>1375</v>
      </c>
      <c r="M10" s="112">
        <f>G5*G8</f>
        <v>0</v>
      </c>
      <c r="N10" s="112">
        <f>H5*H8</f>
        <v>0</v>
      </c>
    </row>
    <row r="11" spans="1:14">
      <c r="A11" s="142" t="s">
        <v>79</v>
      </c>
      <c r="B11" s="143">
        <f>'Portrait de l''entreprise'!I13</f>
        <v>54000</v>
      </c>
      <c r="C11" s="144">
        <f>IF($B$7=0,0,B11/$B$7)</f>
        <v>0.19825444305645937</v>
      </c>
      <c r="D11" s="143">
        <f>B11/12</f>
        <v>4500</v>
      </c>
    </row>
    <row r="12" spans="1:14">
      <c r="A12" s="145" t="s">
        <v>191</v>
      </c>
      <c r="B12" s="143">
        <f>Frais_détails!B3</f>
        <v>8767.25</v>
      </c>
      <c r="C12" s="144">
        <f t="shared" ref="C12:C28" si="0">IF($B$7=0,0,B12/$B$7)</f>
        <v>3.2187893812717472E-2</v>
      </c>
      <c r="D12" s="143">
        <f t="shared" ref="D12:D28" si="1">B12/12</f>
        <v>730.60416666666663</v>
      </c>
    </row>
    <row r="13" spans="1:14">
      <c r="A13" s="142" t="s">
        <v>192</v>
      </c>
      <c r="B13" s="143">
        <f>'Portrait de l''entreprise'!J13</f>
        <v>81600</v>
      </c>
      <c r="C13" s="144">
        <f t="shared" si="0"/>
        <v>0.29958449172976082</v>
      </c>
      <c r="D13" s="143">
        <f t="shared" si="1"/>
        <v>6800</v>
      </c>
    </row>
    <row r="14" spans="1:14">
      <c r="A14" s="142" t="s">
        <v>193</v>
      </c>
      <c r="B14" s="143">
        <f>'Portrait de l''entreprise'!L13</f>
        <v>24480</v>
      </c>
      <c r="C14" s="144">
        <f t="shared" si="0"/>
        <v>8.9875347518928256E-2</v>
      </c>
      <c r="D14" s="143">
        <f t="shared" si="1"/>
        <v>2040</v>
      </c>
    </row>
    <row r="15" spans="1:14">
      <c r="A15" s="142" t="s">
        <v>52</v>
      </c>
      <c r="B15" s="266">
        <f>1200*12</f>
        <v>14400</v>
      </c>
      <c r="C15" s="144">
        <f t="shared" si="0"/>
        <v>5.2867851481722503E-2</v>
      </c>
      <c r="D15" s="143">
        <f t="shared" si="1"/>
        <v>1200</v>
      </c>
    </row>
    <row r="16" spans="1:14">
      <c r="A16" s="142" t="s">
        <v>352</v>
      </c>
      <c r="B16" s="266">
        <v>960</v>
      </c>
      <c r="C16" s="144">
        <f t="shared" si="0"/>
        <v>3.5245234321148334E-3</v>
      </c>
      <c r="D16" s="143">
        <f t="shared" si="1"/>
        <v>80</v>
      </c>
    </row>
    <row r="17" spans="1:8">
      <c r="A17" s="145" t="s">
        <v>294</v>
      </c>
      <c r="B17" s="143">
        <f>Frais_détails!B10</f>
        <v>3120</v>
      </c>
      <c r="C17" s="144">
        <f t="shared" si="0"/>
        <v>1.1454701154373208E-2</v>
      </c>
      <c r="D17" s="143">
        <f t="shared" si="1"/>
        <v>260</v>
      </c>
    </row>
    <row r="18" spans="1:8">
      <c r="A18" s="145" t="s">
        <v>201</v>
      </c>
      <c r="B18" s="143">
        <f>Frais_détails!B16</f>
        <v>2040</v>
      </c>
      <c r="C18" s="144">
        <f t="shared" si="0"/>
        <v>7.4896122932440207E-3</v>
      </c>
      <c r="D18" s="143">
        <f t="shared" si="1"/>
        <v>170</v>
      </c>
    </row>
    <row r="19" spans="1:8">
      <c r="A19" s="145" t="s">
        <v>53</v>
      </c>
      <c r="B19" s="143">
        <f>Frais_détails!B26</f>
        <v>1020</v>
      </c>
      <c r="C19" s="144">
        <f t="shared" si="0"/>
        <v>3.7448061466220104E-3</v>
      </c>
      <c r="D19" s="143">
        <f t="shared" si="1"/>
        <v>85</v>
      </c>
    </row>
    <row r="20" spans="1:8">
      <c r="A20" s="142" t="s">
        <v>174</v>
      </c>
      <c r="B20" s="146"/>
      <c r="C20" s="144">
        <f t="shared" si="0"/>
        <v>0</v>
      </c>
      <c r="D20" s="143">
        <f t="shared" si="1"/>
        <v>0</v>
      </c>
    </row>
    <row r="21" spans="1:8">
      <c r="A21" s="142" t="s">
        <v>175</v>
      </c>
      <c r="B21" s="266">
        <v>3000</v>
      </c>
      <c r="C21" s="144">
        <f t="shared" si="0"/>
        <v>1.1014135725358854E-2</v>
      </c>
      <c r="D21" s="143">
        <f t="shared" si="1"/>
        <v>250</v>
      </c>
    </row>
    <row r="22" spans="1:8">
      <c r="A22" s="142" t="s">
        <v>74</v>
      </c>
      <c r="B22" s="266">
        <v>1200</v>
      </c>
      <c r="C22" s="144">
        <f t="shared" si="0"/>
        <v>4.4056542901435413E-3</v>
      </c>
      <c r="D22" s="143">
        <f t="shared" si="1"/>
        <v>100</v>
      </c>
    </row>
    <row r="23" spans="1:8">
      <c r="A23" s="142" t="s">
        <v>75</v>
      </c>
      <c r="B23" s="266">
        <v>1200</v>
      </c>
      <c r="C23" s="144">
        <f t="shared" si="0"/>
        <v>4.4056542901435413E-3</v>
      </c>
      <c r="D23" s="143">
        <f t="shared" si="1"/>
        <v>100</v>
      </c>
    </row>
    <row r="24" spans="1:8">
      <c r="A24" s="145" t="s">
        <v>176</v>
      </c>
      <c r="B24" s="143">
        <f>Frais_détails!B31</f>
        <v>66000</v>
      </c>
      <c r="C24" s="144">
        <f t="shared" si="0"/>
        <v>0.2423109859578948</v>
      </c>
      <c r="D24" s="143">
        <f t="shared" si="1"/>
        <v>5500</v>
      </c>
    </row>
    <row r="25" spans="1:8">
      <c r="A25" s="142" t="s">
        <v>220</v>
      </c>
      <c r="B25" s="146">
        <v>3000</v>
      </c>
      <c r="C25" s="144">
        <f t="shared" si="0"/>
        <v>1.1014135725358854E-2</v>
      </c>
      <c r="D25" s="143">
        <f t="shared" si="1"/>
        <v>250</v>
      </c>
    </row>
    <row r="26" spans="1:8">
      <c r="A26" s="142" t="s">
        <v>245</v>
      </c>
      <c r="B26" s="143">
        <f>H37</f>
        <v>840</v>
      </c>
      <c r="C26" s="144">
        <f t="shared" si="0"/>
        <v>3.083958003100479E-3</v>
      </c>
      <c r="D26" s="143">
        <f t="shared" si="1"/>
        <v>70</v>
      </c>
    </row>
    <row r="27" spans="1:8">
      <c r="A27" s="142" t="s">
        <v>111</v>
      </c>
      <c r="B27" s="143">
        <f>Inventaire_Immobilisations!E32+Plan_investissements!E32</f>
        <v>6750</v>
      </c>
      <c r="C27" s="144">
        <f t="shared" si="0"/>
        <v>2.4781805382057421E-2</v>
      </c>
      <c r="D27" s="143">
        <f t="shared" si="1"/>
        <v>562.5</v>
      </c>
    </row>
    <row r="28" spans="1:8">
      <c r="A28" s="147" t="s">
        <v>73</v>
      </c>
      <c r="B28" s="148">
        <f>SUM(B11:B27)</f>
        <v>272377.25</v>
      </c>
      <c r="C28" s="149">
        <f t="shared" si="0"/>
        <v>1</v>
      </c>
      <c r="D28" s="148">
        <f t="shared" si="1"/>
        <v>22698.104166666668</v>
      </c>
    </row>
    <row r="30" spans="1:8">
      <c r="B30" s="113"/>
    </row>
    <row r="31" spans="1:8" ht="35.25" customHeight="1">
      <c r="A31" s="390" t="s">
        <v>262</v>
      </c>
      <c r="B31" s="390"/>
      <c r="C31" s="390"/>
      <c r="D31" s="390"/>
      <c r="E31" s="390"/>
      <c r="F31" s="390"/>
      <c r="G31" s="390"/>
      <c r="H31" s="390"/>
    </row>
    <row r="32" spans="1:8">
      <c r="A32" s="103"/>
      <c r="B32" s="104"/>
      <c r="C32" s="105"/>
    </row>
    <row r="33" spans="1:8">
      <c r="A33" s="392" t="s">
        <v>157</v>
      </c>
      <c r="B33" s="392"/>
      <c r="C33" s="392"/>
      <c r="D33" s="150" t="s">
        <v>110</v>
      </c>
      <c r="E33" s="150" t="s">
        <v>91</v>
      </c>
      <c r="F33" s="150" t="s">
        <v>154</v>
      </c>
      <c r="G33" s="150" t="s">
        <v>92</v>
      </c>
      <c r="H33" s="150" t="s">
        <v>93</v>
      </c>
    </row>
    <row r="34" spans="1:8" ht="13.65" customHeight="1">
      <c r="A34" s="393" t="str">
        <f>'Bilan initial'!A24</f>
        <v>Passifs financiers à court terme (compte courant bancaire)</v>
      </c>
      <c r="B34" s="393"/>
      <c r="C34" s="393"/>
      <c r="D34" s="114">
        <f>'Bilan initial'!B24</f>
        <v>0</v>
      </c>
      <c r="E34" s="115">
        <f>Informations!B37</f>
        <v>0</v>
      </c>
      <c r="F34" s="114">
        <f>D34*E34</f>
        <v>0</v>
      </c>
      <c r="G34" s="116">
        <v>840</v>
      </c>
      <c r="H34" s="114">
        <f>F34+G34</f>
        <v>840</v>
      </c>
    </row>
    <row r="35" spans="1:8" ht="13.65" customHeight="1">
      <c r="A35" s="393" t="str">
        <f>'Bilan initial'!A28</f>
        <v>Passifs financiers à long terme (dettes de la banque à long terme)</v>
      </c>
      <c r="B35" s="393"/>
      <c r="C35" s="393"/>
      <c r="D35" s="114">
        <f>'Bilan initial'!B28</f>
        <v>0</v>
      </c>
      <c r="E35" s="115">
        <f>Informations!B38</f>
        <v>0</v>
      </c>
      <c r="F35" s="114">
        <f>E35*D35</f>
        <v>0</v>
      </c>
      <c r="G35" s="116"/>
      <c r="H35" s="114">
        <f>F35+G35</f>
        <v>0</v>
      </c>
    </row>
    <row r="36" spans="1:8" ht="13.65" customHeight="1">
      <c r="A36" s="393" t="str">
        <f>'Bilan initial'!A29</f>
        <v xml:space="preserve">Autres éléments de passif à long terme (prêts des proches ou famille, …) </v>
      </c>
      <c r="B36" s="393"/>
      <c r="C36" s="393"/>
      <c r="D36" s="114">
        <f>'Bilan initial'!B29</f>
        <v>0</v>
      </c>
      <c r="E36" s="115">
        <f>Informations!B39</f>
        <v>0</v>
      </c>
      <c r="F36" s="114">
        <f>D36*E36</f>
        <v>0</v>
      </c>
      <c r="G36" s="116"/>
      <c r="H36" s="114">
        <f>F36+G36</f>
        <v>0</v>
      </c>
    </row>
    <row r="37" spans="1:8">
      <c r="A37" s="391" t="s">
        <v>355</v>
      </c>
      <c r="B37" s="391"/>
      <c r="C37" s="391"/>
      <c r="D37" s="148">
        <f>SUM(D34:D36)</f>
        <v>0</v>
      </c>
      <c r="E37" s="147"/>
      <c r="F37" s="148">
        <f>SUM(F34:F36)</f>
        <v>0</v>
      </c>
      <c r="G37" s="151">
        <f>SUM(G34:G36)</f>
        <v>840</v>
      </c>
      <c r="H37" s="148">
        <f>SUM(H34:H36)</f>
        <v>840</v>
      </c>
    </row>
  </sheetData>
  <sheetProtection algorithmName="SHA-512" hashValue="EkiR53NZnxnwK8pIRIprZ1R7kMpdAOW/cK/H6GP4fdcVYSekOnJcJLBErQABcuiXkPu2V17s2VTu7uchZAcLAQ==" saltValue="V+hEPG6XDBdzFRLtvWMBgg==" spinCount="100000" sheet="1" objects="1" scenarios="1"/>
  <mergeCells count="14">
    <mergeCell ref="B6:C6"/>
    <mergeCell ref="J1:L1"/>
    <mergeCell ref="A1:H1"/>
    <mergeCell ref="B3:C3"/>
    <mergeCell ref="B4:C4"/>
    <mergeCell ref="B5:C5"/>
    <mergeCell ref="B7:C7"/>
    <mergeCell ref="B8:C8"/>
    <mergeCell ref="A31:H31"/>
    <mergeCell ref="A37:C37"/>
    <mergeCell ref="A33:C33"/>
    <mergeCell ref="A34:C34"/>
    <mergeCell ref="A35:C35"/>
    <mergeCell ref="A36:C36"/>
  </mergeCells>
  <phoneticPr fontId="4" type="noConversion"/>
  <dataValidations count="1">
    <dataValidation type="list" allowBlank="1" showInputMessage="1" showErrorMessage="1" sqref="J1:L1" xr:uid="{00000000-0002-0000-0D00-000000000000}">
      <formula1>$K$4:$K$5</formula1>
    </dataValidation>
  </dataValidations>
  <hyperlinks>
    <hyperlink ref="A12" location="Exploitant" display="Charges sociales de l'exploitant" xr:uid="{00000000-0004-0000-0D00-000000000000}"/>
    <hyperlink ref="A17" location="Vehicules" display="Frais de véhicules" xr:uid="{00000000-0004-0000-0D00-000001000000}"/>
    <hyperlink ref="A18" location="Deplacements" display="Frais de déplacements et de voyages" xr:uid="{00000000-0004-0000-0D00-000002000000}"/>
    <hyperlink ref="A19" location="Assurances" display="Assurances de choses, taxes, droits, autorisations" xr:uid="{00000000-0004-0000-0D00-000003000000}"/>
    <hyperlink ref="A24" location="Marketing" display="Charges liées à la publicité" xr:uid="{00000000-0004-0000-0D00-000004000000}"/>
  </hyperlinks>
  <printOptions horizontalCentered="1"/>
  <pageMargins left="0.39370078740157483" right="0.39370078740157483" top="0.39370078740157483" bottom="0.39370078740157483" header="0.51181102362204722" footer="0.39370078740157483"/>
  <pageSetup paperSize="9" orientation="landscape" r:id="rId1"/>
  <headerFooter scaleWithDoc="0">
    <oddFooter>&amp;R11</oddFooter>
  </headerFooter>
  <drawing r:id="rId2"/>
  <legacyDrawing r:id="rId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theme="3"/>
    <pageSetUpPr fitToPage="1"/>
  </sheetPr>
  <dimension ref="A1:H61"/>
  <sheetViews>
    <sheetView showZeros="0" workbookViewId="0">
      <selection activeCell="J38" sqref="J38"/>
    </sheetView>
  </sheetViews>
  <sheetFormatPr baseColWidth="10" defaultColWidth="10.88671875" defaultRowHeight="13.8"/>
  <cols>
    <col min="1" max="1" width="41.6640625" style="18" bestFit="1" customWidth="1"/>
    <col min="2" max="2" width="15.44140625" style="18" customWidth="1"/>
    <col min="3" max="4" width="9.109375" style="18" customWidth="1"/>
    <col min="5" max="5" width="11" style="18" customWidth="1"/>
    <col min="6" max="256" width="9.109375" style="18" customWidth="1"/>
    <col min="257" max="16384" width="10.88671875" style="18"/>
  </cols>
  <sheetData>
    <row r="1" spans="1:8" ht="36" customHeight="1">
      <c r="A1" s="419" t="s">
        <v>156</v>
      </c>
      <c r="B1" s="419"/>
      <c r="C1" s="419"/>
      <c r="D1" s="419"/>
      <c r="E1" s="419"/>
      <c r="F1" s="117"/>
      <c r="G1" s="117"/>
      <c r="H1" s="117"/>
    </row>
    <row r="2" spans="1:8">
      <c r="F2" s="92"/>
      <c r="G2" s="92"/>
      <c r="H2" s="92"/>
    </row>
    <row r="3" spans="1:8">
      <c r="A3" s="152" t="s">
        <v>191</v>
      </c>
      <c r="B3" s="153">
        <f>SUM(B4:B9)</f>
        <v>8767.25</v>
      </c>
      <c r="C3" s="429" t="s">
        <v>155</v>
      </c>
      <c r="D3" s="430"/>
      <c r="E3" s="430"/>
      <c r="F3" s="118"/>
      <c r="G3" s="118"/>
      <c r="H3" s="118"/>
    </row>
    <row r="4" spans="1:8">
      <c r="A4" s="119" t="s">
        <v>202</v>
      </c>
      <c r="B4" s="120">
        <f>TabAVS!B79</f>
        <v>4941.6499999999996</v>
      </c>
      <c r="C4" s="420"/>
      <c r="D4" s="421"/>
      <c r="E4" s="422"/>
      <c r="F4" s="92"/>
      <c r="G4" s="92"/>
      <c r="H4" s="92"/>
    </row>
    <row r="5" spans="1:8">
      <c r="A5" s="119" t="s">
        <v>307</v>
      </c>
      <c r="B5" s="120">
        <f>TabAVS!B80</f>
        <v>1125.5999999999999</v>
      </c>
      <c r="C5" s="423"/>
      <c r="D5" s="424"/>
      <c r="E5" s="425"/>
      <c r="F5" s="92"/>
      <c r="G5" s="92"/>
      <c r="H5" s="92"/>
    </row>
    <row r="6" spans="1:8">
      <c r="A6" s="119" t="s">
        <v>203</v>
      </c>
      <c r="B6" s="121">
        <v>2700</v>
      </c>
      <c r="C6" s="423"/>
      <c r="D6" s="424"/>
      <c r="E6" s="425"/>
      <c r="F6" s="92"/>
      <c r="G6" s="92"/>
      <c r="H6" s="92"/>
    </row>
    <row r="7" spans="1:8">
      <c r="A7" s="119" t="s">
        <v>300</v>
      </c>
      <c r="B7" s="121"/>
      <c r="C7" s="423"/>
      <c r="D7" s="424"/>
      <c r="E7" s="425"/>
      <c r="F7" s="92"/>
      <c r="G7" s="92"/>
      <c r="H7" s="92"/>
    </row>
    <row r="8" spans="1:8">
      <c r="A8" s="119" t="s">
        <v>204</v>
      </c>
      <c r="B8" s="122"/>
      <c r="C8" s="423"/>
      <c r="D8" s="424"/>
      <c r="E8" s="425"/>
      <c r="F8" s="92"/>
      <c r="G8" s="92"/>
      <c r="H8" s="92"/>
    </row>
    <row r="9" spans="1:8">
      <c r="A9" s="119"/>
      <c r="B9" s="123"/>
      <c r="C9" s="426"/>
      <c r="D9" s="427"/>
      <c r="E9" s="428"/>
      <c r="F9" s="92"/>
      <c r="G9" s="92"/>
      <c r="H9" s="92"/>
    </row>
    <row r="10" spans="1:8">
      <c r="A10" s="152" t="s">
        <v>294</v>
      </c>
      <c r="B10" s="153">
        <f>SUM(B11:B15)</f>
        <v>3120</v>
      </c>
      <c r="C10" s="154"/>
      <c r="D10" s="154"/>
      <c r="E10" s="154"/>
      <c r="F10" s="118"/>
      <c r="G10" s="118"/>
      <c r="H10" s="118"/>
    </row>
    <row r="11" spans="1:8">
      <c r="A11" s="119" t="s">
        <v>299</v>
      </c>
      <c r="B11" s="267">
        <v>900</v>
      </c>
      <c r="C11" s="399"/>
      <c r="D11" s="400"/>
      <c r="E11" s="401"/>
      <c r="F11" s="92"/>
      <c r="G11" s="92"/>
      <c r="H11" s="92"/>
    </row>
    <row r="12" spans="1:8">
      <c r="A12" s="119" t="s">
        <v>296</v>
      </c>
      <c r="B12" s="267">
        <v>300</v>
      </c>
      <c r="C12" s="402"/>
      <c r="D12" s="403"/>
      <c r="E12" s="404"/>
      <c r="F12" s="92"/>
      <c r="G12" s="92"/>
      <c r="H12" s="92"/>
    </row>
    <row r="13" spans="1:8">
      <c r="A13" s="119" t="s">
        <v>297</v>
      </c>
      <c r="B13" s="267">
        <v>1920</v>
      </c>
      <c r="C13" s="402"/>
      <c r="D13" s="403"/>
      <c r="E13" s="404"/>
      <c r="F13" s="92"/>
      <c r="G13" s="92"/>
      <c r="H13" s="92"/>
    </row>
    <row r="14" spans="1:8">
      <c r="A14" s="119" t="s">
        <v>295</v>
      </c>
      <c r="B14" s="121"/>
      <c r="C14" s="402"/>
      <c r="D14" s="403"/>
      <c r="E14" s="404"/>
      <c r="F14" s="92"/>
      <c r="G14" s="92"/>
      <c r="H14" s="92"/>
    </row>
    <row r="15" spans="1:8">
      <c r="A15" s="119"/>
      <c r="B15" s="121"/>
      <c r="C15" s="405"/>
      <c r="D15" s="406"/>
      <c r="E15" s="407"/>
      <c r="F15" s="92"/>
      <c r="G15" s="92"/>
      <c r="H15" s="92"/>
    </row>
    <row r="16" spans="1:8">
      <c r="A16" s="152" t="s">
        <v>201</v>
      </c>
      <c r="B16" s="153">
        <f>B17+B18+B24</f>
        <v>2040</v>
      </c>
      <c r="C16" s="154"/>
      <c r="D16" s="154"/>
      <c r="E16" s="154"/>
      <c r="F16" s="118"/>
      <c r="G16" s="118"/>
      <c r="H16" s="118"/>
    </row>
    <row r="17" spans="1:8">
      <c r="A17" s="155" t="s">
        <v>195</v>
      </c>
      <c r="B17" s="156"/>
      <c r="C17" s="408"/>
      <c r="D17" s="409"/>
      <c r="E17" s="410"/>
      <c r="F17" s="92"/>
      <c r="G17" s="92"/>
      <c r="H17" s="92"/>
    </row>
    <row r="18" spans="1:8">
      <c r="A18" s="155" t="s">
        <v>196</v>
      </c>
      <c r="B18" s="156"/>
      <c r="C18" s="411"/>
      <c r="D18" s="412"/>
      <c r="E18" s="413"/>
      <c r="F18" s="92"/>
      <c r="G18" s="92"/>
      <c r="H18" s="92"/>
    </row>
    <row r="19" spans="1:8">
      <c r="C19" s="411"/>
      <c r="D19" s="412"/>
      <c r="E19" s="413"/>
      <c r="F19" s="92"/>
      <c r="G19" s="92"/>
      <c r="H19" s="92"/>
    </row>
    <row r="20" spans="1:8">
      <c r="A20" s="417" t="s">
        <v>197</v>
      </c>
      <c r="B20" s="418"/>
      <c r="C20" s="411"/>
      <c r="D20" s="412"/>
      <c r="E20" s="413"/>
      <c r="F20" s="92"/>
      <c r="G20" s="92"/>
      <c r="H20" s="92"/>
    </row>
    <row r="21" spans="1:8">
      <c r="A21" s="124" t="s">
        <v>298</v>
      </c>
      <c r="B21" s="268">
        <v>15000</v>
      </c>
      <c r="C21" s="411"/>
      <c r="D21" s="412"/>
      <c r="E21" s="413"/>
      <c r="F21" s="92"/>
      <c r="G21" s="92"/>
      <c r="H21" s="92"/>
    </row>
    <row r="22" spans="1:8">
      <c r="A22" s="124" t="s">
        <v>200</v>
      </c>
      <c r="B22" s="269">
        <v>8</v>
      </c>
      <c r="C22" s="411"/>
      <c r="D22" s="412"/>
      <c r="E22" s="413"/>
      <c r="F22" s="92"/>
      <c r="G22" s="92"/>
      <c r="H22" s="92"/>
    </row>
    <row r="23" spans="1:8">
      <c r="A23" s="124" t="s">
        <v>198</v>
      </c>
      <c r="B23" s="269">
        <v>1.7</v>
      </c>
      <c r="C23" s="411"/>
      <c r="D23" s="412"/>
      <c r="E23" s="413"/>
      <c r="F23" s="92"/>
      <c r="G23" s="92"/>
      <c r="H23" s="92"/>
    </row>
    <row r="24" spans="1:8">
      <c r="A24" s="157" t="s">
        <v>199</v>
      </c>
      <c r="B24" s="158">
        <f>IF(B21*B22/100*B23=0,0,B21*B22/100*B23)</f>
        <v>2040</v>
      </c>
      <c r="C24" s="411"/>
      <c r="D24" s="412"/>
      <c r="E24" s="413"/>
      <c r="F24" s="92"/>
      <c r="G24" s="92"/>
      <c r="H24" s="92"/>
    </row>
    <row r="25" spans="1:8">
      <c r="C25" s="414"/>
      <c r="D25" s="415"/>
      <c r="E25" s="416"/>
      <c r="F25" s="92"/>
      <c r="G25" s="92"/>
      <c r="H25" s="92"/>
    </row>
    <row r="26" spans="1:8" ht="12.75" customHeight="1">
      <c r="A26" s="152" t="s">
        <v>83</v>
      </c>
      <c r="B26" s="153">
        <f>SUM(B27:B30)</f>
        <v>1020</v>
      </c>
      <c r="C26" s="154"/>
      <c r="D26" s="154"/>
      <c r="E26" s="154"/>
      <c r="F26" s="118"/>
      <c r="G26" s="118"/>
      <c r="H26" s="118"/>
    </row>
    <row r="27" spans="1:8">
      <c r="A27" s="119" t="s">
        <v>84</v>
      </c>
      <c r="B27" s="121">
        <v>1020</v>
      </c>
      <c r="C27" s="399"/>
      <c r="D27" s="400"/>
      <c r="E27" s="401"/>
      <c r="F27" s="92"/>
      <c r="G27" s="92"/>
      <c r="H27" s="92"/>
    </row>
    <row r="28" spans="1:8">
      <c r="A28" s="119" t="s">
        <v>301</v>
      </c>
      <c r="B28" s="121"/>
      <c r="C28" s="402"/>
      <c r="D28" s="403"/>
      <c r="E28" s="404"/>
      <c r="F28" s="92"/>
      <c r="G28" s="92"/>
      <c r="H28" s="92"/>
    </row>
    <row r="29" spans="1:8">
      <c r="A29" s="119" t="s">
        <v>85</v>
      </c>
      <c r="B29" s="121"/>
      <c r="C29" s="402"/>
      <c r="D29" s="403"/>
      <c r="E29" s="404"/>
      <c r="F29" s="92"/>
      <c r="G29" s="92"/>
      <c r="H29" s="92"/>
    </row>
    <row r="30" spans="1:8">
      <c r="A30" s="119" t="s">
        <v>86</v>
      </c>
      <c r="B30" s="121"/>
      <c r="C30" s="405"/>
      <c r="D30" s="406"/>
      <c r="E30" s="407"/>
      <c r="F30" s="92"/>
      <c r="G30" s="92"/>
      <c r="H30" s="92"/>
    </row>
    <row r="31" spans="1:8">
      <c r="A31" s="152" t="s">
        <v>87</v>
      </c>
      <c r="B31" s="153">
        <f>SUM(B32:B54)</f>
        <v>66000</v>
      </c>
      <c r="C31" s="154"/>
      <c r="D31" s="154"/>
      <c r="E31" s="154"/>
      <c r="F31" s="118"/>
      <c r="G31" s="118"/>
      <c r="H31" s="118"/>
    </row>
    <row r="32" spans="1:8">
      <c r="A32" s="125" t="s">
        <v>14</v>
      </c>
      <c r="B32" s="270">
        <f>1000*12</f>
        <v>12000</v>
      </c>
      <c r="C32" s="408"/>
      <c r="D32" s="409"/>
      <c r="E32" s="410"/>
      <c r="F32" s="92"/>
      <c r="G32" s="92"/>
      <c r="H32" s="92"/>
    </row>
    <row r="33" spans="1:8">
      <c r="A33" s="125" t="s">
        <v>15</v>
      </c>
      <c r="B33" s="270"/>
      <c r="C33" s="411"/>
      <c r="D33" s="412"/>
      <c r="E33" s="413"/>
      <c r="F33" s="92"/>
      <c r="G33" s="92"/>
      <c r="H33" s="92"/>
    </row>
    <row r="34" spans="1:8">
      <c r="A34" s="125" t="s">
        <v>90</v>
      </c>
      <c r="B34" s="270"/>
      <c r="C34" s="411"/>
      <c r="D34" s="412"/>
      <c r="E34" s="413"/>
      <c r="F34" s="92"/>
      <c r="G34" s="92"/>
      <c r="H34" s="92"/>
    </row>
    <row r="35" spans="1:8">
      <c r="A35" s="125" t="s">
        <v>88</v>
      </c>
      <c r="B35" s="270"/>
      <c r="C35" s="411"/>
      <c r="D35" s="412"/>
      <c r="E35" s="413"/>
      <c r="F35" s="92"/>
      <c r="G35" s="92"/>
      <c r="H35" s="92"/>
    </row>
    <row r="36" spans="1:8">
      <c r="A36" s="125" t="s">
        <v>136</v>
      </c>
      <c r="B36" s="270"/>
      <c r="C36" s="411"/>
      <c r="D36" s="412"/>
      <c r="E36" s="413"/>
      <c r="F36" s="92"/>
      <c r="G36" s="92"/>
      <c r="H36" s="92"/>
    </row>
    <row r="37" spans="1:8">
      <c r="A37" s="125" t="s">
        <v>16</v>
      </c>
      <c r="B37" s="270"/>
      <c r="C37" s="411"/>
      <c r="D37" s="412"/>
      <c r="E37" s="413"/>
      <c r="F37" s="92"/>
      <c r="G37" s="92"/>
      <c r="H37" s="92"/>
    </row>
    <row r="38" spans="1:8">
      <c r="A38" s="125" t="s">
        <v>17</v>
      </c>
      <c r="B38" s="270">
        <f>1500*12</f>
        <v>18000</v>
      </c>
      <c r="C38" s="411"/>
      <c r="D38" s="412"/>
      <c r="E38" s="413"/>
      <c r="F38" s="92"/>
      <c r="G38" s="92"/>
      <c r="H38" s="92"/>
    </row>
    <row r="39" spans="1:8">
      <c r="A39" s="125" t="s">
        <v>18</v>
      </c>
      <c r="B39" s="270"/>
      <c r="C39" s="411"/>
      <c r="D39" s="412"/>
      <c r="E39" s="413"/>
      <c r="F39" s="92"/>
      <c r="G39" s="92"/>
      <c r="H39" s="92"/>
    </row>
    <row r="40" spans="1:8">
      <c r="A40" s="125" t="s">
        <v>19</v>
      </c>
      <c r="B40" s="270"/>
      <c r="C40" s="411"/>
      <c r="D40" s="412"/>
      <c r="E40" s="413"/>
      <c r="F40" s="92"/>
      <c r="G40" s="92"/>
      <c r="H40" s="92"/>
    </row>
    <row r="41" spans="1:8">
      <c r="A41" s="125" t="s">
        <v>20</v>
      </c>
      <c r="B41" s="270"/>
      <c r="C41" s="411"/>
      <c r="D41" s="412"/>
      <c r="E41" s="413"/>
      <c r="F41" s="92"/>
      <c r="G41" s="92"/>
      <c r="H41" s="92"/>
    </row>
    <row r="42" spans="1:8">
      <c r="A42" s="125" t="s">
        <v>21</v>
      </c>
      <c r="B42" s="270"/>
      <c r="C42" s="411"/>
      <c r="D42" s="412"/>
      <c r="E42" s="413"/>
      <c r="F42" s="92"/>
      <c r="G42" s="92"/>
      <c r="H42" s="92"/>
    </row>
    <row r="43" spans="1:8">
      <c r="A43" s="125" t="s">
        <v>6</v>
      </c>
      <c r="B43" s="270"/>
      <c r="C43" s="411"/>
      <c r="D43" s="412"/>
      <c r="E43" s="413"/>
      <c r="F43" s="92"/>
      <c r="G43" s="92"/>
      <c r="H43" s="92"/>
    </row>
    <row r="44" spans="1:8">
      <c r="A44" s="125" t="s">
        <v>7</v>
      </c>
      <c r="B44" s="270">
        <f>1000*12</f>
        <v>12000</v>
      </c>
      <c r="C44" s="411"/>
      <c r="D44" s="412"/>
      <c r="E44" s="413"/>
      <c r="F44" s="92"/>
      <c r="G44" s="92"/>
      <c r="H44" s="92"/>
    </row>
    <row r="45" spans="1:8">
      <c r="A45" s="125" t="s">
        <v>8</v>
      </c>
      <c r="B45" s="270"/>
      <c r="C45" s="411"/>
      <c r="D45" s="412"/>
      <c r="E45" s="413"/>
      <c r="F45" s="92"/>
      <c r="G45" s="92"/>
      <c r="H45" s="92"/>
    </row>
    <row r="46" spans="1:8">
      <c r="A46" s="125" t="s">
        <v>9</v>
      </c>
      <c r="B46" s="270"/>
      <c r="C46" s="411"/>
      <c r="D46" s="412"/>
      <c r="E46" s="413"/>
      <c r="F46" s="92"/>
      <c r="G46" s="92"/>
      <c r="H46" s="92"/>
    </row>
    <row r="47" spans="1:8">
      <c r="A47" s="125" t="s">
        <v>113</v>
      </c>
      <c r="B47" s="270"/>
      <c r="C47" s="411"/>
      <c r="D47" s="412"/>
      <c r="E47" s="413"/>
      <c r="F47" s="92"/>
      <c r="G47" s="92"/>
      <c r="H47" s="92"/>
    </row>
    <row r="48" spans="1:8">
      <c r="A48" s="125" t="s">
        <v>134</v>
      </c>
      <c r="B48" s="270"/>
      <c r="C48" s="411"/>
      <c r="D48" s="412"/>
      <c r="E48" s="413"/>
      <c r="F48" s="92"/>
      <c r="G48" s="92"/>
      <c r="H48" s="92"/>
    </row>
    <row r="49" spans="1:8">
      <c r="A49" s="125" t="s">
        <v>135</v>
      </c>
      <c r="B49" s="270"/>
      <c r="C49" s="411"/>
      <c r="D49" s="412"/>
      <c r="E49" s="413"/>
      <c r="F49" s="92"/>
      <c r="G49" s="92"/>
      <c r="H49" s="92"/>
    </row>
    <row r="50" spans="1:8">
      <c r="A50" s="125" t="s">
        <v>10</v>
      </c>
      <c r="B50" s="270"/>
      <c r="C50" s="411"/>
      <c r="D50" s="412"/>
      <c r="E50" s="413"/>
      <c r="F50" s="92"/>
      <c r="G50" s="92"/>
      <c r="H50" s="92"/>
    </row>
    <row r="51" spans="1:8">
      <c r="A51" s="125" t="s">
        <v>13</v>
      </c>
      <c r="B51" s="270"/>
      <c r="C51" s="411"/>
      <c r="D51" s="412"/>
      <c r="E51" s="413"/>
      <c r="F51" s="92"/>
      <c r="G51" s="92"/>
      <c r="H51" s="92"/>
    </row>
    <row r="52" spans="1:8">
      <c r="A52" s="125" t="s">
        <v>112</v>
      </c>
      <c r="B52" s="270"/>
      <c r="C52" s="411"/>
      <c r="D52" s="412"/>
      <c r="E52" s="413"/>
      <c r="F52" s="92"/>
      <c r="G52" s="92"/>
      <c r="H52" s="92"/>
    </row>
    <row r="53" spans="1:8">
      <c r="A53" s="125" t="s">
        <v>114</v>
      </c>
      <c r="B53" s="270">
        <f>2000*12</f>
        <v>24000</v>
      </c>
      <c r="C53" s="411"/>
      <c r="D53" s="412"/>
      <c r="E53" s="413"/>
      <c r="F53" s="92"/>
      <c r="G53" s="92"/>
      <c r="H53" s="92"/>
    </row>
    <row r="54" spans="1:8">
      <c r="A54" s="159" t="s">
        <v>89</v>
      </c>
      <c r="B54" s="160"/>
      <c r="C54" s="414"/>
      <c r="D54" s="415"/>
      <c r="E54" s="416"/>
      <c r="F54" s="92"/>
      <c r="G54" s="92"/>
      <c r="H54" s="92"/>
    </row>
    <row r="55" spans="1:8">
      <c r="F55" s="92"/>
      <c r="G55" s="92"/>
      <c r="H55" s="92"/>
    </row>
    <row r="56" spans="1:8">
      <c r="F56" s="92"/>
      <c r="G56" s="92"/>
      <c r="H56" s="92"/>
    </row>
    <row r="57" spans="1:8">
      <c r="F57" s="92"/>
      <c r="G57" s="92"/>
      <c r="H57" s="92"/>
    </row>
    <row r="58" spans="1:8">
      <c r="F58" s="92"/>
      <c r="G58" s="92"/>
      <c r="H58" s="92"/>
    </row>
    <row r="59" spans="1:8">
      <c r="F59" s="92"/>
      <c r="G59" s="92"/>
      <c r="H59" s="92"/>
    </row>
    <row r="60" spans="1:8">
      <c r="F60" s="92"/>
      <c r="G60" s="92"/>
      <c r="H60" s="92"/>
    </row>
    <row r="61" spans="1:8">
      <c r="F61" s="92"/>
      <c r="G61" s="92"/>
      <c r="H61" s="92"/>
    </row>
  </sheetData>
  <sheetProtection password="C628" sheet="1" objects="1" scenarios="1"/>
  <mergeCells count="8">
    <mergeCell ref="C27:E30"/>
    <mergeCell ref="C32:E54"/>
    <mergeCell ref="A20:B20"/>
    <mergeCell ref="A1:E1"/>
    <mergeCell ref="C4:E9"/>
    <mergeCell ref="C3:E3"/>
    <mergeCell ref="C11:E15"/>
    <mergeCell ref="C17:E25"/>
  </mergeCells>
  <phoneticPr fontId="4" type="noConversion"/>
  <pageMargins left="0.78740157480314965" right="0.78740157480314965" top="0.98425196850393704" bottom="0.78740157480314965" header="0.51181102362204722" footer="0.39370078740157483"/>
  <pageSetup paperSize="9" orientation="portrait" r:id="rId1"/>
  <headerFooter scaleWithDoc="0">
    <oddFooter>&amp;R12</oddFooter>
  </headerFooter>
  <drawing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theme="3"/>
    <pageSetUpPr fitToPage="1"/>
  </sheetPr>
  <dimension ref="A1:L34"/>
  <sheetViews>
    <sheetView showZeros="0" workbookViewId="0">
      <selection activeCell="F17" sqref="F17"/>
    </sheetView>
  </sheetViews>
  <sheetFormatPr baseColWidth="10" defaultColWidth="9.109375" defaultRowHeight="13.8"/>
  <cols>
    <col min="1" max="1" width="52.88671875" style="21" customWidth="1"/>
    <col min="2" max="2" width="9.88671875" style="21" bestFit="1" customWidth="1"/>
    <col min="3" max="3" width="7.109375" style="21" bestFit="1" customWidth="1"/>
    <col min="4" max="8" width="18.44140625" style="21" customWidth="1"/>
    <col min="9" max="16384" width="9.109375" style="21"/>
  </cols>
  <sheetData>
    <row r="1" spans="1:12" ht="36" customHeight="1">
      <c r="A1" s="390" t="str">
        <f>CONCATENATE("10. Compte d'exploitation du"," ",TEXT(Informations!B25,"jj.mm.aaaa")," ","au"," ",TEXT(Informations!B26,"jj.mm.aaaa"))</f>
        <v>10. Compte d'exploitation du 01.01.2023 au 31.12.2023</v>
      </c>
      <c r="B1" s="390"/>
      <c r="C1" s="390"/>
      <c r="D1" s="390"/>
      <c r="E1" s="390"/>
      <c r="F1" s="390"/>
      <c r="G1" s="390"/>
      <c r="H1" s="390"/>
      <c r="K1" s="126">
        <f>Informations!B27</f>
        <v>12</v>
      </c>
      <c r="L1" s="127">
        <f>Informations!B33</f>
        <v>238.7</v>
      </c>
    </row>
    <row r="2" spans="1:12">
      <c r="A2" s="103"/>
      <c r="B2" s="104"/>
      <c r="C2" s="105"/>
    </row>
    <row r="3" spans="1:12">
      <c r="A3" s="140" t="s">
        <v>168</v>
      </c>
      <c r="B3" s="433" t="s">
        <v>171</v>
      </c>
      <c r="C3" s="433"/>
      <c r="D3" s="166" t="str">
        <f>'Compte d''exploitation'!D3</f>
        <v xml:space="preserve">Rédaction </v>
      </c>
      <c r="E3" s="166" t="str">
        <f>'Compte d''exploitation'!E3</f>
        <v xml:space="preserve">Représentation </v>
      </c>
      <c r="F3" s="166" t="str">
        <f>'Compte d''exploitation'!F3</f>
        <v>Livres</v>
      </c>
      <c r="G3" s="166" t="str">
        <f>'Compte d''exploitation'!G3</f>
        <v/>
      </c>
      <c r="H3" s="166" t="str">
        <f>'Compte d''exploitation'!H3</f>
        <v/>
      </c>
    </row>
    <row r="4" spans="1:12" ht="12.75" customHeight="1">
      <c r="A4" s="142" t="s">
        <v>159</v>
      </c>
      <c r="B4" s="434">
        <f>'Compte d''exploitation'!B4/12*'Compte d''exploitation période'!K1</f>
        <v>463620.85106382985</v>
      </c>
      <c r="C4" s="434"/>
      <c r="D4" s="114">
        <f>$B$4*D5/100</f>
        <v>92724.170212765966</v>
      </c>
      <c r="E4" s="114">
        <f>$B$4*E5/100</f>
        <v>115905.21276595745</v>
      </c>
      <c r="F4" s="114">
        <f>$B$4*F5/100</f>
        <v>254991.46808510643</v>
      </c>
      <c r="G4" s="114">
        <f>$B$4*G5/100</f>
        <v>0</v>
      </c>
      <c r="H4" s="114">
        <f>$B$4*H5/100</f>
        <v>0</v>
      </c>
    </row>
    <row r="5" spans="1:12">
      <c r="A5" s="142" t="s">
        <v>172</v>
      </c>
      <c r="B5" s="435">
        <f>SUM(D5:H5)</f>
        <v>100</v>
      </c>
      <c r="C5" s="435"/>
      <c r="D5" s="161">
        <f>'Compte d''exploitation'!D5</f>
        <v>20</v>
      </c>
      <c r="E5" s="161">
        <f>'Compte d''exploitation'!E5</f>
        <v>25</v>
      </c>
      <c r="F5" s="161">
        <f>'Compte d''exploitation'!F5</f>
        <v>55</v>
      </c>
      <c r="G5" s="161">
        <f>'Compte d''exploitation'!G5</f>
        <v>0</v>
      </c>
      <c r="H5" s="161">
        <f>'Compte d''exploitation'!H5</f>
        <v>0</v>
      </c>
    </row>
    <row r="6" spans="1:12" ht="12.75" customHeight="1">
      <c r="A6" s="142" t="s">
        <v>160</v>
      </c>
      <c r="B6" s="434">
        <f>(100-B8)*B4/100</f>
        <v>191243.60106382982</v>
      </c>
      <c r="C6" s="434"/>
      <c r="D6" s="143">
        <f>D4*(100-D8)/100</f>
        <v>0</v>
      </c>
      <c r="E6" s="143">
        <f>E4*(100-E8)/100</f>
        <v>0</v>
      </c>
      <c r="F6" s="143">
        <f>F4*(100-F8)/100</f>
        <v>191243.60106382982</v>
      </c>
      <c r="G6" s="143">
        <f>G4*(100-G8)/100</f>
        <v>0</v>
      </c>
      <c r="H6" s="143">
        <f>H4*(100-H8)/100</f>
        <v>0</v>
      </c>
    </row>
    <row r="7" spans="1:12">
      <c r="A7" s="147" t="s">
        <v>51</v>
      </c>
      <c r="B7" s="431">
        <f>B4-B6</f>
        <v>272377.25</v>
      </c>
      <c r="C7" s="431"/>
      <c r="D7" s="148">
        <f>D4-D6</f>
        <v>92724.170212765966</v>
      </c>
      <c r="E7" s="148">
        <f>E4-E6</f>
        <v>115905.21276595745</v>
      </c>
      <c r="F7" s="148">
        <f>F4-F6</f>
        <v>63747.867021276616</v>
      </c>
      <c r="G7" s="148">
        <f>G4-G6</f>
        <v>0</v>
      </c>
      <c r="H7" s="148">
        <f>H4-H6</f>
        <v>0</v>
      </c>
    </row>
    <row r="8" spans="1:12">
      <c r="A8" s="168" t="s">
        <v>194</v>
      </c>
      <c r="B8" s="436">
        <f>SUM(D10:H10)/100</f>
        <v>58.75</v>
      </c>
      <c r="C8" s="436"/>
      <c r="D8" s="169">
        <f>'Compte d''exploitation'!D8</f>
        <v>100</v>
      </c>
      <c r="E8" s="169">
        <f>'Compte d''exploitation'!E8</f>
        <v>100</v>
      </c>
      <c r="F8" s="170">
        <f>'Compte d''exploitation'!F8</f>
        <v>25</v>
      </c>
      <c r="G8" s="170">
        <f>'Compte d''exploitation'!G8</f>
        <v>0</v>
      </c>
      <c r="H8" s="170">
        <f>'Compte d''exploitation'!H8</f>
        <v>0</v>
      </c>
    </row>
    <row r="9" spans="1:12">
      <c r="A9" s="162"/>
      <c r="B9" s="110"/>
      <c r="D9" s="163"/>
      <c r="E9" s="163"/>
      <c r="F9" s="163"/>
      <c r="G9" s="163"/>
      <c r="H9" s="163"/>
    </row>
    <row r="10" spans="1:12">
      <c r="A10" s="140" t="s">
        <v>169</v>
      </c>
      <c r="B10" s="141" t="s">
        <v>110</v>
      </c>
      <c r="C10" s="141" t="s">
        <v>170</v>
      </c>
      <c r="D10" s="453">
        <f>D5*D8</f>
        <v>2000</v>
      </c>
      <c r="E10" s="453">
        <f>E5*E8</f>
        <v>2500</v>
      </c>
      <c r="F10" s="453">
        <f>F5*F8</f>
        <v>1375</v>
      </c>
      <c r="G10" s="21">
        <f>G5*G8</f>
        <v>0</v>
      </c>
      <c r="H10" s="21">
        <f>H5*H8</f>
        <v>0</v>
      </c>
    </row>
    <row r="11" spans="1:12">
      <c r="A11" s="142" t="s">
        <v>79</v>
      </c>
      <c r="B11" s="143">
        <f>('Compte d''exploitation'!B11/12)*$K$1</f>
        <v>54000</v>
      </c>
      <c r="C11" s="144">
        <f>IF($B$7=0,0,B11/$B$7)</f>
        <v>0.19825444305645937</v>
      </c>
    </row>
    <row r="12" spans="1:12">
      <c r="A12" s="142" t="s">
        <v>191</v>
      </c>
      <c r="B12" s="143">
        <f>('Compte d''exploitation'!B12/12)*$K$1</f>
        <v>8767.25</v>
      </c>
      <c r="C12" s="144">
        <f t="shared" ref="C12:C27" si="0">IF($B$7=0,0,B12/$B$7)</f>
        <v>3.2187893812717472E-2</v>
      </c>
    </row>
    <row r="13" spans="1:12">
      <c r="A13" s="142" t="s">
        <v>161</v>
      </c>
      <c r="B13" s="143">
        <f>('Compte d''exploitation'!B13/12)*$K$1</f>
        <v>81600</v>
      </c>
      <c r="C13" s="144">
        <f t="shared" si="0"/>
        <v>0.29958449172976082</v>
      </c>
    </row>
    <row r="14" spans="1:12">
      <c r="A14" s="142" t="s">
        <v>193</v>
      </c>
      <c r="B14" s="143">
        <f>('Compte d''exploitation'!B14/12)*$K$1</f>
        <v>24480</v>
      </c>
      <c r="C14" s="144">
        <f t="shared" si="0"/>
        <v>8.9875347518928256E-2</v>
      </c>
    </row>
    <row r="15" spans="1:12">
      <c r="A15" s="142" t="s">
        <v>52</v>
      </c>
      <c r="B15" s="143">
        <f>('Compte d''exploitation'!B15/12)*$K$1</f>
        <v>14400</v>
      </c>
      <c r="C15" s="144">
        <f t="shared" si="0"/>
        <v>5.2867851481722503E-2</v>
      </c>
    </row>
    <row r="16" spans="1:12" ht="12.75" customHeight="1">
      <c r="A16" s="142" t="s">
        <v>302</v>
      </c>
      <c r="B16" s="143">
        <f>('Compte d''exploitation'!B16/12)*$K$1</f>
        <v>960</v>
      </c>
      <c r="C16" s="144">
        <f t="shared" si="0"/>
        <v>3.5245234321148334E-3</v>
      </c>
    </row>
    <row r="17" spans="1:8">
      <c r="A17" s="142" t="s">
        <v>294</v>
      </c>
      <c r="B17" s="143">
        <f>('Compte d''exploitation'!B17/12)*$K$1</f>
        <v>3120</v>
      </c>
      <c r="C17" s="144">
        <f t="shared" si="0"/>
        <v>1.1454701154373208E-2</v>
      </c>
    </row>
    <row r="18" spans="1:8">
      <c r="A18" s="142" t="s">
        <v>201</v>
      </c>
      <c r="B18" s="143">
        <f>('Compte d''exploitation'!B18/12)*$K$1</f>
        <v>2040</v>
      </c>
      <c r="C18" s="144">
        <f t="shared" si="0"/>
        <v>7.4896122932440207E-3</v>
      </c>
    </row>
    <row r="19" spans="1:8">
      <c r="A19" s="142" t="s">
        <v>53</v>
      </c>
      <c r="B19" s="143">
        <f>('Compte d''exploitation'!B19/12)*$K$1</f>
        <v>1020</v>
      </c>
      <c r="C19" s="144">
        <f t="shared" si="0"/>
        <v>3.7448061466220104E-3</v>
      </c>
    </row>
    <row r="20" spans="1:8">
      <c r="A20" s="142" t="s">
        <v>174</v>
      </c>
      <c r="B20" s="143">
        <f>('Compte d''exploitation'!B20/12)*$K$1</f>
        <v>0</v>
      </c>
      <c r="C20" s="144">
        <f t="shared" si="0"/>
        <v>0</v>
      </c>
    </row>
    <row r="21" spans="1:8">
      <c r="A21" s="142" t="s">
        <v>175</v>
      </c>
      <c r="B21" s="143">
        <f>('Compte d''exploitation'!B21/12)*$K$1</f>
        <v>3000</v>
      </c>
      <c r="C21" s="144">
        <f t="shared" si="0"/>
        <v>1.1014135725358854E-2</v>
      </c>
    </row>
    <row r="22" spans="1:8">
      <c r="A22" s="142" t="s">
        <v>74</v>
      </c>
      <c r="B22" s="143">
        <f>('Compte d''exploitation'!B22/12)*$K$1</f>
        <v>1200</v>
      </c>
      <c r="C22" s="144">
        <f t="shared" si="0"/>
        <v>4.4056542901435413E-3</v>
      </c>
    </row>
    <row r="23" spans="1:8">
      <c r="A23" s="142" t="s">
        <v>75</v>
      </c>
      <c r="B23" s="143">
        <f>('Compte d''exploitation'!B23/12)*$K$1</f>
        <v>1200</v>
      </c>
      <c r="C23" s="144">
        <f t="shared" si="0"/>
        <v>4.4056542901435413E-3</v>
      </c>
    </row>
    <row r="24" spans="1:8">
      <c r="A24" s="142" t="s">
        <v>176</v>
      </c>
      <c r="B24" s="143">
        <f>('Compte d''exploitation'!B24/12)*$K$1</f>
        <v>66000</v>
      </c>
      <c r="C24" s="144">
        <f t="shared" si="0"/>
        <v>0.2423109859578948</v>
      </c>
    </row>
    <row r="25" spans="1:8">
      <c r="A25" s="142" t="s">
        <v>220</v>
      </c>
      <c r="B25" s="143">
        <f>('Compte d''exploitation'!B25/12)*$K$1</f>
        <v>3000</v>
      </c>
      <c r="C25" s="144">
        <f t="shared" si="0"/>
        <v>1.1014135725358854E-2</v>
      </c>
    </row>
    <row r="26" spans="1:8">
      <c r="A26" s="142" t="s">
        <v>177</v>
      </c>
      <c r="B26" s="143">
        <f>('Compte d''exploitation'!B26/12)*$K$1</f>
        <v>840</v>
      </c>
      <c r="C26" s="144">
        <f t="shared" si="0"/>
        <v>3.083958003100479E-3</v>
      </c>
    </row>
    <row r="27" spans="1:8">
      <c r="A27" s="142" t="s">
        <v>111</v>
      </c>
      <c r="B27" s="143">
        <f>('Compte d''exploitation'!B27/12)*$K$1</f>
        <v>6750</v>
      </c>
      <c r="C27" s="144">
        <f t="shared" si="0"/>
        <v>2.4781805382057421E-2</v>
      </c>
    </row>
    <row r="28" spans="1:8">
      <c r="A28" s="147" t="s">
        <v>73</v>
      </c>
      <c r="B28" s="148">
        <f>SUM(B11:B27)</f>
        <v>272377.25</v>
      </c>
      <c r="C28" s="149">
        <f>IF($B$7=0,0,B28/$B$7)</f>
        <v>1</v>
      </c>
    </row>
    <row r="29" spans="1:8">
      <c r="A29" s="168" t="s">
        <v>178</v>
      </c>
      <c r="B29" s="170">
        <f>B7-B28</f>
        <v>0</v>
      </c>
      <c r="C29" s="170"/>
    </row>
    <row r="30" spans="1:8">
      <c r="A30" s="164"/>
      <c r="B30" s="165"/>
      <c r="C30" s="165"/>
      <c r="D30" s="4"/>
      <c r="E30" s="4"/>
      <c r="F30" s="4"/>
      <c r="G30" s="4"/>
      <c r="H30" s="4"/>
    </row>
    <row r="31" spans="1:8">
      <c r="B31" s="433" t="s">
        <v>171</v>
      </c>
      <c r="C31" s="433"/>
      <c r="D31" s="166" t="str">
        <f t="shared" ref="D31:H31" si="1">D3</f>
        <v xml:space="preserve">Rédaction </v>
      </c>
      <c r="E31" s="166" t="str">
        <f t="shared" si="1"/>
        <v xml:space="preserve">Représentation </v>
      </c>
      <c r="F31" s="166" t="str">
        <f t="shared" si="1"/>
        <v>Livres</v>
      </c>
      <c r="G31" s="166" t="str">
        <f t="shared" si="1"/>
        <v/>
      </c>
      <c r="H31" s="166" t="str">
        <f t="shared" si="1"/>
        <v/>
      </c>
    </row>
    <row r="32" spans="1:8">
      <c r="A32" s="167" t="s">
        <v>76</v>
      </c>
      <c r="B32" s="431">
        <f>IF(B8=0,0,B28*100/B8)</f>
        <v>463620.85106382979</v>
      </c>
      <c r="C32" s="431"/>
      <c r="D32" s="148">
        <f>$B$32*D5/100</f>
        <v>92724.170212765952</v>
      </c>
      <c r="E32" s="148">
        <f>$B$32*E5/100</f>
        <v>115905.21276595745</v>
      </c>
      <c r="F32" s="148">
        <f>$B$32*F5/100</f>
        <v>254991.46808510637</v>
      </c>
      <c r="G32" s="148">
        <f>$B$32*G5/100</f>
        <v>0</v>
      </c>
      <c r="H32" s="148">
        <f>$B$32*H5/100</f>
        <v>0</v>
      </c>
    </row>
    <row r="33" spans="1:8">
      <c r="A33" s="171" t="s">
        <v>77</v>
      </c>
      <c r="B33" s="432">
        <f>IF($K$1=0,0,B32*12/Informations!$B$29/$K$1)</f>
        <v>42147.350096711794</v>
      </c>
      <c r="C33" s="432"/>
      <c r="D33" s="143">
        <f>IF($K$1=0,0,D32*12/Informations!$B$29/$K$1)</f>
        <v>8429.4700193423596</v>
      </c>
      <c r="E33" s="143">
        <f>IF($K$1=0,0,E32*12/Informations!$B$29/$K$1)</f>
        <v>10536.837524177949</v>
      </c>
      <c r="F33" s="143">
        <f>IF($K$1=0,0,F32*12/Informations!$B$29/$K$1)</f>
        <v>23181.042553191492</v>
      </c>
      <c r="G33" s="143">
        <f>IF($K$1=0,0,G32*12/Informations!$B$29/$K$1)</f>
        <v>0</v>
      </c>
      <c r="H33" s="143">
        <f>IF($K$1=0,0,H32*12/Informations!$B$29/$K$1)</f>
        <v>0</v>
      </c>
    </row>
    <row r="34" spans="1:8">
      <c r="A34" s="171" t="s">
        <v>78</v>
      </c>
      <c r="B34" s="432">
        <f>IF(L1=0,0,B32/$L$1)</f>
        <v>1942.2741980051521</v>
      </c>
      <c r="C34" s="432"/>
      <c r="D34" s="143">
        <f>IF($L$1=0,0,D32/$L$1)</f>
        <v>388.45483960103041</v>
      </c>
      <c r="E34" s="143">
        <f>IF($L$1=0,0,E32/$L$1)</f>
        <v>485.56854950128803</v>
      </c>
      <c r="F34" s="143">
        <f>IF($L$1=0,0,F32/$L$1)</f>
        <v>1068.2508089028336</v>
      </c>
      <c r="G34" s="143">
        <f>IF($L$1=0,0,G32/$L$1)</f>
        <v>0</v>
      </c>
      <c r="H34" s="143">
        <f>IF($L$1=0,0,H32/$L$1)</f>
        <v>0</v>
      </c>
    </row>
  </sheetData>
  <mergeCells count="11">
    <mergeCell ref="B32:C32"/>
    <mergeCell ref="B33:C33"/>
    <mergeCell ref="A1:H1"/>
    <mergeCell ref="B34:C34"/>
    <mergeCell ref="B3:C3"/>
    <mergeCell ref="B4:C4"/>
    <mergeCell ref="B5:C5"/>
    <mergeCell ref="B6:C6"/>
    <mergeCell ref="B7:C7"/>
    <mergeCell ref="B8:C8"/>
    <mergeCell ref="B31:C31"/>
  </mergeCells>
  <phoneticPr fontId="4" type="noConversion"/>
  <printOptions horizontalCentered="1"/>
  <pageMargins left="0.39370078740157483" right="0.39370078740157483" top="0.39370078740157483" bottom="0.39370078740157483" header="0.51181102362204722" footer="0.39370078740157483"/>
  <pageSetup paperSize="9" scale="87" orientation="landscape" r:id="rId1"/>
  <headerFooter scaleWithDoc="0">
    <oddFooter>&amp;R13</oddFooter>
  </headerFooter>
  <drawing r:id="rId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theme="3"/>
    <pageSetUpPr fitToPage="1"/>
  </sheetPr>
  <dimension ref="A1:K34"/>
  <sheetViews>
    <sheetView showZeros="0" workbookViewId="0">
      <selection activeCell="B12" sqref="B12"/>
    </sheetView>
  </sheetViews>
  <sheetFormatPr baseColWidth="10" defaultColWidth="10.88671875" defaultRowHeight="13.8"/>
  <cols>
    <col min="1" max="1" width="60.6640625" style="18" customWidth="1"/>
    <col min="2" max="3" width="9.109375" style="18" customWidth="1"/>
    <col min="4" max="7" width="15.44140625" style="18" customWidth="1"/>
    <col min="8" max="256" width="9.109375" style="18" customWidth="1"/>
    <col min="257" max="16384" width="10.88671875" style="18"/>
  </cols>
  <sheetData>
    <row r="1" spans="1:11" ht="36" customHeight="1">
      <c r="A1" s="419" t="s">
        <v>263</v>
      </c>
      <c r="B1" s="419"/>
      <c r="C1" s="419"/>
      <c r="D1" s="419"/>
      <c r="E1" s="419"/>
      <c r="F1" s="419"/>
      <c r="G1" s="419"/>
    </row>
    <row r="3" spans="1:11">
      <c r="A3" s="438" t="s">
        <v>173</v>
      </c>
      <c r="B3" s="439"/>
      <c r="C3" s="439"/>
      <c r="D3" s="439"/>
      <c r="E3" s="439"/>
      <c r="F3" s="439"/>
      <c r="G3" s="440"/>
      <c r="H3" s="73"/>
      <c r="I3" s="73"/>
      <c r="J3" s="73"/>
      <c r="K3" s="73"/>
    </row>
    <row r="4" spans="1:11">
      <c r="A4" s="189" t="s">
        <v>280</v>
      </c>
      <c r="B4" s="190">
        <f>'Bilan initial'!B24*-1</f>
        <v>0</v>
      </c>
      <c r="H4" s="92"/>
      <c r="I4" s="92"/>
      <c r="J4" s="92"/>
      <c r="K4" s="92"/>
    </row>
    <row r="5" spans="1:11">
      <c r="A5" s="155" t="s">
        <v>96</v>
      </c>
      <c r="B5" s="191">
        <f>'Bilan initial'!B5</f>
        <v>31500</v>
      </c>
    </row>
    <row r="6" spans="1:11">
      <c r="B6" s="128"/>
    </row>
    <row r="7" spans="1:11">
      <c r="A7" s="155" t="s">
        <v>97</v>
      </c>
      <c r="B7" s="191">
        <f>'Bilan initial'!B6</f>
        <v>0</v>
      </c>
    </row>
    <row r="8" spans="1:11">
      <c r="A8" s="192" t="s">
        <v>99</v>
      </c>
      <c r="B8" s="193">
        <f>'Compte d''exploitation période'!B4</f>
        <v>463620.85106382985</v>
      </c>
    </row>
    <row r="9" spans="1:11">
      <c r="A9" s="194" t="s">
        <v>100</v>
      </c>
      <c r="B9" s="195">
        <f>-1*F32</f>
        <v>-38635.070921985818</v>
      </c>
    </row>
    <row r="10" spans="1:11">
      <c r="A10" s="92"/>
      <c r="B10" s="196"/>
    </row>
    <row r="11" spans="1:11">
      <c r="A11" s="155" t="s">
        <v>98</v>
      </c>
      <c r="B11" s="191">
        <f>'Bilan initial'!B23*-1</f>
        <v>0</v>
      </c>
    </row>
    <row r="12" spans="1:11">
      <c r="A12" s="192" t="s">
        <v>101</v>
      </c>
      <c r="B12" s="193">
        <f>-1*E32</f>
        <v>-191243.60106382982</v>
      </c>
    </row>
    <row r="13" spans="1:11">
      <c r="A13" s="194" t="s">
        <v>281</v>
      </c>
      <c r="B13" s="195">
        <f>1*G32</f>
        <v>7968.483377659576</v>
      </c>
    </row>
    <row r="14" spans="1:11">
      <c r="A14" s="92"/>
      <c r="B14" s="196"/>
    </row>
    <row r="15" spans="1:11">
      <c r="A15" s="192" t="s">
        <v>223</v>
      </c>
      <c r="B15" s="193">
        <f>-1*('Compte d''exploitation période'!B28-'Compte d''exploitation période'!B27)</f>
        <v>-265627.25</v>
      </c>
    </row>
    <row r="16" spans="1:11">
      <c r="A16" s="194" t="s">
        <v>102</v>
      </c>
      <c r="B16" s="195">
        <f>IF('Compte d''exploitation période'!K1=0,0,'Compte d''exploitation période'!B23+(('Compte d''exploitation période'!B22/'Compte d''exploitation période'!K1)*2))</f>
        <v>1400</v>
      </c>
    </row>
    <row r="17" spans="1:7">
      <c r="A17" s="92"/>
      <c r="B17" s="196"/>
    </row>
    <row r="18" spans="1:7">
      <c r="A18" s="192" t="s">
        <v>103</v>
      </c>
      <c r="B18" s="193">
        <f>(Plan_investissements!B32)*-1</f>
        <v>-4000</v>
      </c>
    </row>
    <row r="19" spans="1:7">
      <c r="A19" s="192" t="s">
        <v>104</v>
      </c>
      <c r="B19" s="197"/>
    </row>
    <row r="20" spans="1:7">
      <c r="A20" s="192" t="s">
        <v>221</v>
      </c>
      <c r="B20" s="197"/>
    </row>
    <row r="22" spans="1:7">
      <c r="A22" s="198" t="s">
        <v>222</v>
      </c>
      <c r="B22" s="199">
        <f>SUM(B4:B20)</f>
        <v>4983.4124556737952</v>
      </c>
    </row>
    <row r="24" spans="1:7">
      <c r="A24" s="441" t="s">
        <v>277</v>
      </c>
      <c r="B24" s="441"/>
      <c r="C24" s="441"/>
      <c r="D24" s="441"/>
      <c r="E24" s="441"/>
      <c r="F24" s="441"/>
      <c r="G24" s="441"/>
    </row>
    <row r="25" spans="1:7" ht="12.75" customHeight="1">
      <c r="B25" s="437" t="s">
        <v>230</v>
      </c>
      <c r="C25" s="437"/>
      <c r="D25" s="437" t="s">
        <v>279</v>
      </c>
      <c r="E25" s="437"/>
      <c r="F25" s="437"/>
      <c r="G25" s="437"/>
    </row>
    <row r="26" spans="1:7">
      <c r="B26" s="202" t="s">
        <v>231</v>
      </c>
      <c r="C26" s="202" t="s">
        <v>232</v>
      </c>
      <c r="D26" s="202" t="s">
        <v>234</v>
      </c>
      <c r="E26" s="202" t="s">
        <v>235</v>
      </c>
      <c r="F26" s="202" t="s">
        <v>236</v>
      </c>
      <c r="G26" s="202" t="s">
        <v>237</v>
      </c>
    </row>
    <row r="27" spans="1:7">
      <c r="A27" s="200" t="str">
        <f>'Compte d''exploitation'!D3</f>
        <v xml:space="preserve">Rédaction </v>
      </c>
      <c r="B27" s="203">
        <f>Produits_prestations!D13</f>
        <v>30</v>
      </c>
      <c r="C27" s="203">
        <f>Produits_prestations!E13</f>
        <v>0</v>
      </c>
      <c r="D27" s="204">
        <f>'Compte d''exploitation période'!D4</f>
        <v>92724.170212765966</v>
      </c>
      <c r="E27" s="204">
        <f>'Compte d''exploitation période'!D6</f>
        <v>0</v>
      </c>
      <c r="F27" s="204">
        <f t="shared" ref="F27:G31" si="0">IF($B$34=0,0,(D27/$B$34)*B27)</f>
        <v>7727.0141843971633</v>
      </c>
      <c r="G27" s="204">
        <f t="shared" si="0"/>
        <v>0</v>
      </c>
    </row>
    <row r="28" spans="1:7">
      <c r="A28" s="200" t="str">
        <f>'Compte d''exploitation'!E3</f>
        <v xml:space="preserve">Représentation </v>
      </c>
      <c r="B28" s="203">
        <f>Produits_prestations!D14</f>
        <v>30</v>
      </c>
      <c r="C28" s="203">
        <f>Produits_prestations!E14</f>
        <v>0</v>
      </c>
      <c r="D28" s="204">
        <f>'Compte d''exploitation période'!E4</f>
        <v>115905.21276595745</v>
      </c>
      <c r="E28" s="204">
        <f>'Compte d''exploitation période'!E6</f>
        <v>0</v>
      </c>
      <c r="F28" s="204">
        <f t="shared" si="0"/>
        <v>9658.7677304964527</v>
      </c>
      <c r="G28" s="204">
        <f t="shared" si="0"/>
        <v>0</v>
      </c>
    </row>
    <row r="29" spans="1:7">
      <c r="A29" s="200" t="str">
        <f>'Compte d''exploitation'!F3</f>
        <v>Livres</v>
      </c>
      <c r="B29" s="203">
        <f>Produits_prestations!D15</f>
        <v>30</v>
      </c>
      <c r="C29" s="203">
        <f>Produits_prestations!E15</f>
        <v>15</v>
      </c>
      <c r="D29" s="204">
        <f>'Compte d''exploitation période'!F4</f>
        <v>254991.46808510643</v>
      </c>
      <c r="E29" s="204">
        <f>'Compte d''exploitation période'!F6</f>
        <v>191243.60106382982</v>
      </c>
      <c r="F29" s="204">
        <f t="shared" si="0"/>
        <v>21249.2890070922</v>
      </c>
      <c r="G29" s="204">
        <f t="shared" si="0"/>
        <v>7968.483377659576</v>
      </c>
    </row>
    <row r="30" spans="1:7">
      <c r="A30" s="200" t="str">
        <f>'Compte d''exploitation'!G3</f>
        <v/>
      </c>
      <c r="B30" s="203">
        <f>Produits_prestations!D16</f>
        <v>0</v>
      </c>
      <c r="C30" s="203">
        <f>Produits_prestations!E16</f>
        <v>0</v>
      </c>
      <c r="D30" s="204">
        <f>'Compte d''exploitation période'!G4</f>
        <v>0</v>
      </c>
      <c r="E30" s="204">
        <f>'Compte d''exploitation période'!G6</f>
        <v>0</v>
      </c>
      <c r="F30" s="204">
        <f t="shared" si="0"/>
        <v>0</v>
      </c>
      <c r="G30" s="204">
        <f t="shared" si="0"/>
        <v>0</v>
      </c>
    </row>
    <row r="31" spans="1:7">
      <c r="A31" s="200" t="str">
        <f>'Compte d''exploitation'!H3</f>
        <v/>
      </c>
      <c r="B31" s="203">
        <f>Produits_prestations!D17</f>
        <v>0</v>
      </c>
      <c r="C31" s="203">
        <f>Produits_prestations!E17</f>
        <v>0</v>
      </c>
      <c r="D31" s="204">
        <f>'Compte d''exploitation période'!H4</f>
        <v>0</v>
      </c>
      <c r="E31" s="204">
        <f>'Compte d''exploitation période'!H6</f>
        <v>0</v>
      </c>
      <c r="F31" s="204">
        <f t="shared" si="0"/>
        <v>0</v>
      </c>
      <c r="G31" s="204">
        <f t="shared" si="0"/>
        <v>0</v>
      </c>
    </row>
    <row r="32" spans="1:7">
      <c r="A32" s="201" t="s">
        <v>278</v>
      </c>
      <c r="B32" s="205"/>
      <c r="C32" s="206"/>
      <c r="D32" s="205">
        <f>SUM(D27:D31)</f>
        <v>463620.85106382985</v>
      </c>
      <c r="E32" s="205">
        <f>SUM(E27:E31)</f>
        <v>191243.60106382982</v>
      </c>
      <c r="F32" s="205">
        <f>SUM(F27:F31)</f>
        <v>38635.070921985818</v>
      </c>
      <c r="G32" s="205">
        <f>SUM(G27:G31)</f>
        <v>7968.483377659576</v>
      </c>
    </row>
    <row r="34" spans="1:2">
      <c r="A34" s="129" t="s">
        <v>233</v>
      </c>
      <c r="B34" s="129">
        <f>30*Informations!B27</f>
        <v>360</v>
      </c>
    </row>
  </sheetData>
  <sheetProtection algorithmName="SHA-512" hashValue="HoIY35u+onedrn0aLQjqks6V3wFbYHSk/oXq9++SqtCjhBQmPH/TRLTlYISkBjD3Xz9wUBDU24AI7Ie7mmk+Bg==" saltValue="URSrNWI+5QIqhj6A4yomFQ==" spinCount="100000" sheet="1" objects="1" scenarios="1"/>
  <mergeCells count="5">
    <mergeCell ref="B25:C25"/>
    <mergeCell ref="A1:G1"/>
    <mergeCell ref="A3:G3"/>
    <mergeCell ref="A24:G24"/>
    <mergeCell ref="D25:G25"/>
  </mergeCells>
  <phoneticPr fontId="4" type="noConversion"/>
  <printOptions horizontalCentered="1"/>
  <pageMargins left="0.39370078740157483" right="0.39370078740157483" top="0.39370078740157483" bottom="0.39370078740157483" header="0.51181102362204722" footer="0.39370078740157483"/>
  <pageSetup paperSize="9" orientation="landscape" r:id="rId1"/>
  <headerFooter scaleWithDoc="0">
    <oddFooter>&amp;R14</oddFooter>
  </headerFooter>
  <drawing r:id="rId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theme="3"/>
    <pageSetUpPr fitToPage="1"/>
  </sheetPr>
  <dimension ref="A1:K37"/>
  <sheetViews>
    <sheetView showZeros="0" tabSelected="1" workbookViewId="0">
      <selection sqref="A1:B1"/>
    </sheetView>
  </sheetViews>
  <sheetFormatPr baseColWidth="10" defaultColWidth="9.109375" defaultRowHeight="13.8"/>
  <cols>
    <col min="1" max="1" width="130.109375" style="21" customWidth="1"/>
    <col min="2" max="2" width="23" style="21" customWidth="1"/>
    <col min="3" max="3" width="11.44140625" style="21" customWidth="1"/>
    <col min="4" max="4" width="11.33203125" style="21" bestFit="1" customWidth="1"/>
    <col min="5" max="16384" width="9.109375" style="21"/>
  </cols>
  <sheetData>
    <row r="1" spans="1:11" ht="36" customHeight="1">
      <c r="A1" s="384" t="str">
        <f>CONCATENATE("12. Bilan final au"," ",TEXT(Informations!B26,"jj.mm.aaaa"))</f>
        <v>12. Bilan final au 31.12.2023</v>
      </c>
      <c r="B1" s="384"/>
      <c r="C1" s="89"/>
      <c r="D1" s="89"/>
      <c r="E1" s="89"/>
      <c r="F1" s="89"/>
      <c r="G1" s="89"/>
      <c r="H1" s="89"/>
      <c r="I1" s="89"/>
      <c r="J1" s="89"/>
      <c r="K1" s="89"/>
    </row>
    <row r="2" spans="1:11" ht="18">
      <c r="A2" s="90"/>
      <c r="B2" s="91"/>
    </row>
    <row r="3" spans="1:11" ht="15.75" customHeight="1">
      <c r="A3" s="172" t="s">
        <v>353</v>
      </c>
      <c r="B3" s="173" t="str">
        <f>IF(E26=0,"V","X")</f>
        <v>V</v>
      </c>
    </row>
    <row r="4" spans="1:11" ht="15.75" customHeight="1">
      <c r="A4" s="174" t="s">
        <v>219</v>
      </c>
      <c r="B4" s="175"/>
    </row>
    <row r="5" spans="1:11" ht="15.75" customHeight="1">
      <c r="A5" s="176" t="s">
        <v>188</v>
      </c>
      <c r="B5" s="177">
        <f>IF(Plan_Liquidités!B22&gt;0,Plan_Liquidités!B22,0)</f>
        <v>4983.4124556737952</v>
      </c>
    </row>
    <row r="6" spans="1:11" ht="15.75" customHeight="1">
      <c r="A6" s="176" t="s">
        <v>189</v>
      </c>
      <c r="B6" s="177">
        <f>Plan_Liquidités!B9*-1</f>
        <v>38635.070921985818</v>
      </c>
    </row>
    <row r="7" spans="1:11" ht="15.75" customHeight="1">
      <c r="A7" s="176" t="s">
        <v>44</v>
      </c>
      <c r="B7" s="177">
        <f>'Bilan initial'!B7</f>
        <v>0</v>
      </c>
    </row>
    <row r="8" spans="1:11" ht="15.75" customHeight="1">
      <c r="A8" s="178" t="s">
        <v>218</v>
      </c>
      <c r="B8" s="179">
        <f>SUM(B5:B7)</f>
        <v>43618.483377659613</v>
      </c>
    </row>
    <row r="9" spans="1:11" customFormat="1" ht="15.75" customHeight="1">
      <c r="B9" s="211"/>
    </row>
    <row r="10" spans="1:11" ht="15.75" customHeight="1">
      <c r="A10" s="180" t="s">
        <v>217</v>
      </c>
      <c r="B10" s="212"/>
    </row>
    <row r="11" spans="1:11" ht="15.75" customHeight="1">
      <c r="A11" s="176" t="s">
        <v>208</v>
      </c>
      <c r="B11" s="182">
        <f>'Bilan initial'!B11</f>
        <v>0</v>
      </c>
    </row>
    <row r="12" spans="1:11" ht="15.75" customHeight="1">
      <c r="A12" s="176" t="s">
        <v>45</v>
      </c>
      <c r="B12" s="182">
        <f>'Bilan initial'!B12+Plan_investissements!B7-Inventaire_Immobilisations!F7-Plan_investissements!F7</f>
        <v>2800</v>
      </c>
    </row>
    <row r="13" spans="1:11" ht="15.75" customHeight="1">
      <c r="A13" s="176" t="s">
        <v>309</v>
      </c>
      <c r="B13" s="182">
        <f>Inventaire_Immobilisations!B13-Inventaire_Immobilisations!F13+Plan_investissements!B13-Plan_investissements!F13</f>
        <v>10200</v>
      </c>
    </row>
    <row r="14" spans="1:11" ht="15.75" customHeight="1">
      <c r="A14" s="176" t="s">
        <v>46</v>
      </c>
      <c r="B14" s="182">
        <f>Inventaire_Immobilisations!B19-Inventaire_Immobilisations!F19+Plan_investissements!B19-Plan_investissements!F19</f>
        <v>22750</v>
      </c>
    </row>
    <row r="15" spans="1:11" ht="15.75" customHeight="1">
      <c r="A15" s="176" t="s">
        <v>47</v>
      </c>
      <c r="B15" s="182">
        <f>Inventaire_Immobilisations!B25-Inventaire_Immobilisations!F25+Plan_investissements!B25-Plan_investissements!F25</f>
        <v>0</v>
      </c>
    </row>
    <row r="16" spans="1:11" ht="15.75" customHeight="1">
      <c r="A16" s="176" t="s">
        <v>190</v>
      </c>
      <c r="B16" s="182">
        <f>Inventaire_Immobilisations!B31-Inventaire_Immobilisations!F31+Plan_investissements!B31-Plan_investissements!F31</f>
        <v>0</v>
      </c>
    </row>
    <row r="17" spans="1:5" ht="15.75" customHeight="1">
      <c r="A17" s="178" t="s">
        <v>48</v>
      </c>
      <c r="B17" s="179">
        <f>SUM(B11:B16)</f>
        <v>35750</v>
      </c>
    </row>
    <row r="18" spans="1:5" customFormat="1" ht="15.75" customHeight="1">
      <c r="B18" s="211"/>
    </row>
    <row r="19" spans="1:5" ht="15.75" customHeight="1">
      <c r="A19" s="183" t="s">
        <v>49</v>
      </c>
      <c r="B19" s="184">
        <f>B8+B17</f>
        <v>79368.483377659606</v>
      </c>
    </row>
    <row r="20" spans="1:5" customFormat="1" ht="15.75" customHeight="1">
      <c r="B20" s="211"/>
    </row>
    <row r="21" spans="1:5" ht="15.75" customHeight="1">
      <c r="A21" s="207" t="s">
        <v>354</v>
      </c>
      <c r="B21" s="213"/>
    </row>
    <row r="22" spans="1:5" ht="15.75" customHeight="1">
      <c r="A22" s="174" t="s">
        <v>211</v>
      </c>
      <c r="B22" s="210"/>
    </row>
    <row r="23" spans="1:5" ht="15.75" customHeight="1">
      <c r="A23" s="176" t="s">
        <v>205</v>
      </c>
      <c r="B23" s="177">
        <f>Plan_Liquidités!B13+Plan_Liquidités!B16</f>
        <v>9368.4833776595769</v>
      </c>
    </row>
    <row r="24" spans="1:5" ht="15.75" customHeight="1">
      <c r="A24" s="208" t="s">
        <v>303</v>
      </c>
      <c r="B24" s="209">
        <f>IF(Plan_Liquidités!B22&lt;0,-1*Plan_Liquidités!B22,0)</f>
        <v>0</v>
      </c>
    </row>
    <row r="25" spans="1:5" ht="15.75" customHeight="1">
      <c r="A25" s="178" t="s">
        <v>212</v>
      </c>
      <c r="B25" s="179">
        <f>SUM(B23:B24)</f>
        <v>9368.4833776595769</v>
      </c>
    </row>
    <row r="26" spans="1:5" ht="15.75" customHeight="1">
      <c r="A26" s="214"/>
      <c r="B26" s="215"/>
      <c r="E26" s="21">
        <f>ROUND(B19-B37,0)</f>
        <v>0</v>
      </c>
    </row>
    <row r="27" spans="1:5" ht="15.75" customHeight="1">
      <c r="A27" s="174" t="s">
        <v>213</v>
      </c>
      <c r="B27" s="210"/>
    </row>
    <row r="28" spans="1:5" ht="15.75" customHeight="1">
      <c r="A28" s="176" t="s">
        <v>206</v>
      </c>
      <c r="B28" s="177">
        <f>'Bilan initial'!B28+Plan_Liquidités!B19</f>
        <v>0</v>
      </c>
    </row>
    <row r="29" spans="1:5" ht="15.75" customHeight="1">
      <c r="A29" s="208" t="s">
        <v>207</v>
      </c>
      <c r="B29" s="209">
        <f>'Bilan initial'!B29+Plan_Liquidités!B20</f>
        <v>0</v>
      </c>
    </row>
    <row r="30" spans="1:5" ht="15.75" customHeight="1">
      <c r="A30" s="178" t="s">
        <v>214</v>
      </c>
      <c r="B30" s="179">
        <f>SUM(B28:B29)</f>
        <v>0</v>
      </c>
    </row>
    <row r="31" spans="1:5" ht="15.75" customHeight="1">
      <c r="A31" s="214"/>
      <c r="B31" s="215"/>
    </row>
    <row r="32" spans="1:5" ht="15.75" customHeight="1">
      <c r="A32" s="174" t="s">
        <v>109</v>
      </c>
      <c r="B32" s="210"/>
    </row>
    <row r="33" spans="1:2" ht="15.75" customHeight="1">
      <c r="A33" s="208" t="s">
        <v>50</v>
      </c>
      <c r="B33" s="209">
        <f>'Bilan initial'!B33</f>
        <v>70000</v>
      </c>
    </row>
    <row r="34" spans="1:2" ht="15.75" customHeight="1">
      <c r="A34" s="208" t="s">
        <v>224</v>
      </c>
      <c r="B34" s="209">
        <f>'Compte d''exploitation période'!B29</f>
        <v>0</v>
      </c>
    </row>
    <row r="35" spans="1:2">
      <c r="A35" s="178" t="s">
        <v>215</v>
      </c>
      <c r="B35" s="179">
        <f>B33</f>
        <v>70000</v>
      </c>
    </row>
    <row r="36" spans="1:2" customFormat="1" ht="13.2"/>
    <row r="37" spans="1:2">
      <c r="A37" s="183" t="s">
        <v>216</v>
      </c>
      <c r="B37" s="184">
        <f>B35+B30+B25</f>
        <v>79368.483377659577</v>
      </c>
    </row>
  </sheetData>
  <sheetProtection algorithmName="SHA-512" hashValue="0OjaoQGXBpvUTsoZTT8FRLOdUudIs9Lom+BqIeI0oUUQ049NdA0iKlTh46+WCmHRFAhYrf3O0FqHCzAeLSeihA==" saltValue="q8CL4ux58XOgP2VAAWoXsQ==" spinCount="100000" sheet="1" objects="1" scenarios="1"/>
  <mergeCells count="1">
    <mergeCell ref="A1:B1"/>
  </mergeCells>
  <phoneticPr fontId="4" type="noConversion"/>
  <hyperlinks>
    <hyperlink ref="A10" location="Inventaire_Immobilisations!A1" display="Actifs immobilisés" xr:uid="{00000000-0004-0000-1100-000000000000}"/>
  </hyperlinks>
  <printOptions horizontalCentered="1"/>
  <pageMargins left="0.39370078740157483" right="0.39370078740157483" top="0.39370078740157483" bottom="0.39370078740157483" header="0.51181102362204722" footer="0.39370078740157483"/>
  <pageSetup paperSize="9" scale="92" orientation="landscape" r:id="rId1"/>
  <headerFooter scaleWithDoc="0">
    <oddFooter>&amp;R15</oddFooter>
  </headerFooter>
  <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1"/>
  </sheetPr>
  <dimension ref="A1:K127"/>
  <sheetViews>
    <sheetView workbookViewId="0">
      <selection activeCell="M20" sqref="M20"/>
    </sheetView>
  </sheetViews>
  <sheetFormatPr baseColWidth="10" defaultRowHeight="13.8"/>
  <cols>
    <col min="1" max="1" width="23.6640625" style="228" customWidth="1"/>
    <col min="2" max="2" width="2.6640625" style="228" customWidth="1"/>
    <col min="3" max="3" width="15.6640625" style="228" customWidth="1"/>
    <col min="4" max="4" width="2.6640625" style="228" customWidth="1"/>
    <col min="5" max="5" width="15.6640625" style="228" customWidth="1"/>
    <col min="6" max="6" width="2.6640625" style="228" customWidth="1"/>
    <col min="7" max="7" width="15.6640625" style="228" customWidth="1"/>
    <col min="8" max="8" width="2.6640625" style="228" customWidth="1"/>
    <col min="9" max="9" width="47" style="228" customWidth="1"/>
    <col min="10" max="256" width="11.44140625" style="228"/>
    <col min="257" max="257" width="23.6640625" style="228" customWidth="1"/>
    <col min="258" max="258" width="2.6640625" style="228" customWidth="1"/>
    <col min="259" max="259" width="15.6640625" style="228" customWidth="1"/>
    <col min="260" max="260" width="2.6640625" style="228" customWidth="1"/>
    <col min="261" max="261" width="15.6640625" style="228" customWidth="1"/>
    <col min="262" max="262" width="2.6640625" style="228" customWidth="1"/>
    <col min="263" max="263" width="15.6640625" style="228" customWidth="1"/>
    <col min="264" max="264" width="2.6640625" style="228" customWidth="1"/>
    <col min="265" max="265" width="47" style="228" customWidth="1"/>
    <col min="266" max="512" width="11.44140625" style="228"/>
    <col min="513" max="513" width="23.6640625" style="228" customWidth="1"/>
    <col min="514" max="514" width="2.6640625" style="228" customWidth="1"/>
    <col min="515" max="515" width="15.6640625" style="228" customWidth="1"/>
    <col min="516" max="516" width="2.6640625" style="228" customWidth="1"/>
    <col min="517" max="517" width="15.6640625" style="228" customWidth="1"/>
    <col min="518" max="518" width="2.6640625" style="228" customWidth="1"/>
    <col min="519" max="519" width="15.6640625" style="228" customWidth="1"/>
    <col min="520" max="520" width="2.6640625" style="228" customWidth="1"/>
    <col min="521" max="521" width="47" style="228" customWidth="1"/>
    <col min="522" max="768" width="11.44140625" style="228"/>
    <col min="769" max="769" width="23.6640625" style="228" customWidth="1"/>
    <col min="770" max="770" width="2.6640625" style="228" customWidth="1"/>
    <col min="771" max="771" width="15.6640625" style="228" customWidth="1"/>
    <col min="772" max="772" width="2.6640625" style="228" customWidth="1"/>
    <col min="773" max="773" width="15.6640625" style="228" customWidth="1"/>
    <col min="774" max="774" width="2.6640625" style="228" customWidth="1"/>
    <col min="775" max="775" width="15.6640625" style="228" customWidth="1"/>
    <col min="776" max="776" width="2.6640625" style="228" customWidth="1"/>
    <col min="777" max="777" width="47" style="228" customWidth="1"/>
    <col min="778" max="1024" width="11.44140625" style="228"/>
    <col min="1025" max="1025" width="23.6640625" style="228" customWidth="1"/>
    <col min="1026" max="1026" width="2.6640625" style="228" customWidth="1"/>
    <col min="1027" max="1027" width="15.6640625" style="228" customWidth="1"/>
    <col min="1028" max="1028" width="2.6640625" style="228" customWidth="1"/>
    <col min="1029" max="1029" width="15.6640625" style="228" customWidth="1"/>
    <col min="1030" max="1030" width="2.6640625" style="228" customWidth="1"/>
    <col min="1031" max="1031" width="15.6640625" style="228" customWidth="1"/>
    <col min="1032" max="1032" width="2.6640625" style="228" customWidth="1"/>
    <col min="1033" max="1033" width="47" style="228" customWidth="1"/>
    <col min="1034" max="1280" width="11.44140625" style="228"/>
    <col min="1281" max="1281" width="23.6640625" style="228" customWidth="1"/>
    <col min="1282" max="1282" width="2.6640625" style="228" customWidth="1"/>
    <col min="1283" max="1283" width="15.6640625" style="228" customWidth="1"/>
    <col min="1284" max="1284" width="2.6640625" style="228" customWidth="1"/>
    <col min="1285" max="1285" width="15.6640625" style="228" customWidth="1"/>
    <col min="1286" max="1286" width="2.6640625" style="228" customWidth="1"/>
    <col min="1287" max="1287" width="15.6640625" style="228" customWidth="1"/>
    <col min="1288" max="1288" width="2.6640625" style="228" customWidth="1"/>
    <col min="1289" max="1289" width="47" style="228" customWidth="1"/>
    <col min="1290" max="1536" width="11.44140625" style="228"/>
    <col min="1537" max="1537" width="23.6640625" style="228" customWidth="1"/>
    <col min="1538" max="1538" width="2.6640625" style="228" customWidth="1"/>
    <col min="1539" max="1539" width="15.6640625" style="228" customWidth="1"/>
    <col min="1540" max="1540" width="2.6640625" style="228" customWidth="1"/>
    <col min="1541" max="1541" width="15.6640625" style="228" customWidth="1"/>
    <col min="1542" max="1542" width="2.6640625" style="228" customWidth="1"/>
    <col min="1543" max="1543" width="15.6640625" style="228" customWidth="1"/>
    <col min="1544" max="1544" width="2.6640625" style="228" customWidth="1"/>
    <col min="1545" max="1545" width="47" style="228" customWidth="1"/>
    <col min="1546" max="1792" width="11.44140625" style="228"/>
    <col min="1793" max="1793" width="23.6640625" style="228" customWidth="1"/>
    <col min="1794" max="1794" width="2.6640625" style="228" customWidth="1"/>
    <col min="1795" max="1795" width="15.6640625" style="228" customWidth="1"/>
    <col min="1796" max="1796" width="2.6640625" style="228" customWidth="1"/>
    <col min="1797" max="1797" width="15.6640625" style="228" customWidth="1"/>
    <col min="1798" max="1798" width="2.6640625" style="228" customWidth="1"/>
    <col min="1799" max="1799" width="15.6640625" style="228" customWidth="1"/>
    <col min="1800" max="1800" width="2.6640625" style="228" customWidth="1"/>
    <col min="1801" max="1801" width="47" style="228" customWidth="1"/>
    <col min="1802" max="2048" width="11.44140625" style="228"/>
    <col min="2049" max="2049" width="23.6640625" style="228" customWidth="1"/>
    <col min="2050" max="2050" width="2.6640625" style="228" customWidth="1"/>
    <col min="2051" max="2051" width="15.6640625" style="228" customWidth="1"/>
    <col min="2052" max="2052" width="2.6640625" style="228" customWidth="1"/>
    <col min="2053" max="2053" width="15.6640625" style="228" customWidth="1"/>
    <col min="2054" max="2054" width="2.6640625" style="228" customWidth="1"/>
    <col min="2055" max="2055" width="15.6640625" style="228" customWidth="1"/>
    <col min="2056" max="2056" width="2.6640625" style="228" customWidth="1"/>
    <col min="2057" max="2057" width="47" style="228" customWidth="1"/>
    <col min="2058" max="2304" width="11.44140625" style="228"/>
    <col min="2305" max="2305" width="23.6640625" style="228" customWidth="1"/>
    <col min="2306" max="2306" width="2.6640625" style="228" customWidth="1"/>
    <col min="2307" max="2307" width="15.6640625" style="228" customWidth="1"/>
    <col min="2308" max="2308" width="2.6640625" style="228" customWidth="1"/>
    <col min="2309" max="2309" width="15.6640625" style="228" customWidth="1"/>
    <col min="2310" max="2310" width="2.6640625" style="228" customWidth="1"/>
    <col min="2311" max="2311" width="15.6640625" style="228" customWidth="1"/>
    <col min="2312" max="2312" width="2.6640625" style="228" customWidth="1"/>
    <col min="2313" max="2313" width="47" style="228" customWidth="1"/>
    <col min="2314" max="2560" width="11.44140625" style="228"/>
    <col min="2561" max="2561" width="23.6640625" style="228" customWidth="1"/>
    <col min="2562" max="2562" width="2.6640625" style="228" customWidth="1"/>
    <col min="2563" max="2563" width="15.6640625" style="228" customWidth="1"/>
    <col min="2564" max="2564" width="2.6640625" style="228" customWidth="1"/>
    <col min="2565" max="2565" width="15.6640625" style="228" customWidth="1"/>
    <col min="2566" max="2566" width="2.6640625" style="228" customWidth="1"/>
    <col min="2567" max="2567" width="15.6640625" style="228" customWidth="1"/>
    <col min="2568" max="2568" width="2.6640625" style="228" customWidth="1"/>
    <col min="2569" max="2569" width="47" style="228" customWidth="1"/>
    <col min="2570" max="2816" width="11.44140625" style="228"/>
    <col min="2817" max="2817" width="23.6640625" style="228" customWidth="1"/>
    <col min="2818" max="2818" width="2.6640625" style="228" customWidth="1"/>
    <col min="2819" max="2819" width="15.6640625" style="228" customWidth="1"/>
    <col min="2820" max="2820" width="2.6640625" style="228" customWidth="1"/>
    <col min="2821" max="2821" width="15.6640625" style="228" customWidth="1"/>
    <col min="2822" max="2822" width="2.6640625" style="228" customWidth="1"/>
    <col min="2823" max="2823" width="15.6640625" style="228" customWidth="1"/>
    <col min="2824" max="2824" width="2.6640625" style="228" customWidth="1"/>
    <col min="2825" max="2825" width="47" style="228" customWidth="1"/>
    <col min="2826" max="3072" width="11.44140625" style="228"/>
    <col min="3073" max="3073" width="23.6640625" style="228" customWidth="1"/>
    <col min="3074" max="3074" width="2.6640625" style="228" customWidth="1"/>
    <col min="3075" max="3075" width="15.6640625" style="228" customWidth="1"/>
    <col min="3076" max="3076" width="2.6640625" style="228" customWidth="1"/>
    <col min="3077" max="3077" width="15.6640625" style="228" customWidth="1"/>
    <col min="3078" max="3078" width="2.6640625" style="228" customWidth="1"/>
    <col min="3079" max="3079" width="15.6640625" style="228" customWidth="1"/>
    <col min="3080" max="3080" width="2.6640625" style="228" customWidth="1"/>
    <col min="3081" max="3081" width="47" style="228" customWidth="1"/>
    <col min="3082" max="3328" width="11.44140625" style="228"/>
    <col min="3329" max="3329" width="23.6640625" style="228" customWidth="1"/>
    <col min="3330" max="3330" width="2.6640625" style="228" customWidth="1"/>
    <col min="3331" max="3331" width="15.6640625" style="228" customWidth="1"/>
    <col min="3332" max="3332" width="2.6640625" style="228" customWidth="1"/>
    <col min="3333" max="3333" width="15.6640625" style="228" customWidth="1"/>
    <col min="3334" max="3334" width="2.6640625" style="228" customWidth="1"/>
    <col min="3335" max="3335" width="15.6640625" style="228" customWidth="1"/>
    <col min="3336" max="3336" width="2.6640625" style="228" customWidth="1"/>
    <col min="3337" max="3337" width="47" style="228" customWidth="1"/>
    <col min="3338" max="3584" width="11.44140625" style="228"/>
    <col min="3585" max="3585" width="23.6640625" style="228" customWidth="1"/>
    <col min="3586" max="3586" width="2.6640625" style="228" customWidth="1"/>
    <col min="3587" max="3587" width="15.6640625" style="228" customWidth="1"/>
    <col min="3588" max="3588" width="2.6640625" style="228" customWidth="1"/>
    <col min="3589" max="3589" width="15.6640625" style="228" customWidth="1"/>
    <col min="3590" max="3590" width="2.6640625" style="228" customWidth="1"/>
    <col min="3591" max="3591" width="15.6640625" style="228" customWidth="1"/>
    <col min="3592" max="3592" width="2.6640625" style="228" customWidth="1"/>
    <col min="3593" max="3593" width="47" style="228" customWidth="1"/>
    <col min="3594" max="3840" width="11.44140625" style="228"/>
    <col min="3841" max="3841" width="23.6640625" style="228" customWidth="1"/>
    <col min="3842" max="3842" width="2.6640625" style="228" customWidth="1"/>
    <col min="3843" max="3843" width="15.6640625" style="228" customWidth="1"/>
    <col min="3844" max="3844" width="2.6640625" style="228" customWidth="1"/>
    <col min="3845" max="3845" width="15.6640625" style="228" customWidth="1"/>
    <col min="3846" max="3846" width="2.6640625" style="228" customWidth="1"/>
    <col min="3847" max="3847" width="15.6640625" style="228" customWidth="1"/>
    <col min="3848" max="3848" width="2.6640625" style="228" customWidth="1"/>
    <col min="3849" max="3849" width="47" style="228" customWidth="1"/>
    <col min="3850" max="4096" width="11.44140625" style="228"/>
    <col min="4097" max="4097" width="23.6640625" style="228" customWidth="1"/>
    <col min="4098" max="4098" width="2.6640625" style="228" customWidth="1"/>
    <col min="4099" max="4099" width="15.6640625" style="228" customWidth="1"/>
    <col min="4100" max="4100" width="2.6640625" style="228" customWidth="1"/>
    <col min="4101" max="4101" width="15.6640625" style="228" customWidth="1"/>
    <col min="4102" max="4102" width="2.6640625" style="228" customWidth="1"/>
    <col min="4103" max="4103" width="15.6640625" style="228" customWidth="1"/>
    <col min="4104" max="4104" width="2.6640625" style="228" customWidth="1"/>
    <col min="4105" max="4105" width="47" style="228" customWidth="1"/>
    <col min="4106" max="4352" width="11.44140625" style="228"/>
    <col min="4353" max="4353" width="23.6640625" style="228" customWidth="1"/>
    <col min="4354" max="4354" width="2.6640625" style="228" customWidth="1"/>
    <col min="4355" max="4355" width="15.6640625" style="228" customWidth="1"/>
    <col min="4356" max="4356" width="2.6640625" style="228" customWidth="1"/>
    <col min="4357" max="4357" width="15.6640625" style="228" customWidth="1"/>
    <col min="4358" max="4358" width="2.6640625" style="228" customWidth="1"/>
    <col min="4359" max="4359" width="15.6640625" style="228" customWidth="1"/>
    <col min="4360" max="4360" width="2.6640625" style="228" customWidth="1"/>
    <col min="4361" max="4361" width="47" style="228" customWidth="1"/>
    <col min="4362" max="4608" width="11.44140625" style="228"/>
    <col min="4609" max="4609" width="23.6640625" style="228" customWidth="1"/>
    <col min="4610" max="4610" width="2.6640625" style="228" customWidth="1"/>
    <col min="4611" max="4611" width="15.6640625" style="228" customWidth="1"/>
    <col min="4612" max="4612" width="2.6640625" style="228" customWidth="1"/>
    <col min="4613" max="4613" width="15.6640625" style="228" customWidth="1"/>
    <col min="4614" max="4614" width="2.6640625" style="228" customWidth="1"/>
    <col min="4615" max="4615" width="15.6640625" style="228" customWidth="1"/>
    <col min="4616" max="4616" width="2.6640625" style="228" customWidth="1"/>
    <col min="4617" max="4617" width="47" style="228" customWidth="1"/>
    <col min="4618" max="4864" width="11.44140625" style="228"/>
    <col min="4865" max="4865" width="23.6640625" style="228" customWidth="1"/>
    <col min="4866" max="4866" width="2.6640625" style="228" customWidth="1"/>
    <col min="4867" max="4867" width="15.6640625" style="228" customWidth="1"/>
    <col min="4868" max="4868" width="2.6640625" style="228" customWidth="1"/>
    <col min="4869" max="4869" width="15.6640625" style="228" customWidth="1"/>
    <col min="4870" max="4870" width="2.6640625" style="228" customWidth="1"/>
    <col min="4871" max="4871" width="15.6640625" style="228" customWidth="1"/>
    <col min="4872" max="4872" width="2.6640625" style="228" customWidth="1"/>
    <col min="4873" max="4873" width="47" style="228" customWidth="1"/>
    <col min="4874" max="5120" width="11.44140625" style="228"/>
    <col min="5121" max="5121" width="23.6640625" style="228" customWidth="1"/>
    <col min="5122" max="5122" width="2.6640625" style="228" customWidth="1"/>
    <col min="5123" max="5123" width="15.6640625" style="228" customWidth="1"/>
    <col min="5124" max="5124" width="2.6640625" style="228" customWidth="1"/>
    <col min="5125" max="5125" width="15.6640625" style="228" customWidth="1"/>
    <col min="5126" max="5126" width="2.6640625" style="228" customWidth="1"/>
    <col min="5127" max="5127" width="15.6640625" style="228" customWidth="1"/>
    <col min="5128" max="5128" width="2.6640625" style="228" customWidth="1"/>
    <col min="5129" max="5129" width="47" style="228" customWidth="1"/>
    <col min="5130" max="5376" width="11.44140625" style="228"/>
    <col min="5377" max="5377" width="23.6640625" style="228" customWidth="1"/>
    <col min="5378" max="5378" width="2.6640625" style="228" customWidth="1"/>
    <col min="5379" max="5379" width="15.6640625" style="228" customWidth="1"/>
    <col min="5380" max="5380" width="2.6640625" style="228" customWidth="1"/>
    <col min="5381" max="5381" width="15.6640625" style="228" customWidth="1"/>
    <col min="5382" max="5382" width="2.6640625" style="228" customWidth="1"/>
    <col min="5383" max="5383" width="15.6640625" style="228" customWidth="1"/>
    <col min="5384" max="5384" width="2.6640625" style="228" customWidth="1"/>
    <col min="5385" max="5385" width="47" style="228" customWidth="1"/>
    <col min="5386" max="5632" width="11.44140625" style="228"/>
    <col min="5633" max="5633" width="23.6640625" style="228" customWidth="1"/>
    <col min="5634" max="5634" width="2.6640625" style="228" customWidth="1"/>
    <col min="5635" max="5635" width="15.6640625" style="228" customWidth="1"/>
    <col min="5636" max="5636" width="2.6640625" style="228" customWidth="1"/>
    <col min="5637" max="5637" width="15.6640625" style="228" customWidth="1"/>
    <col min="5638" max="5638" width="2.6640625" style="228" customWidth="1"/>
    <col min="5639" max="5639" width="15.6640625" style="228" customWidth="1"/>
    <col min="5640" max="5640" width="2.6640625" style="228" customWidth="1"/>
    <col min="5641" max="5641" width="47" style="228" customWidth="1"/>
    <col min="5642" max="5888" width="11.44140625" style="228"/>
    <col min="5889" max="5889" width="23.6640625" style="228" customWidth="1"/>
    <col min="5890" max="5890" width="2.6640625" style="228" customWidth="1"/>
    <col min="5891" max="5891" width="15.6640625" style="228" customWidth="1"/>
    <col min="5892" max="5892" width="2.6640625" style="228" customWidth="1"/>
    <col min="5893" max="5893" width="15.6640625" style="228" customWidth="1"/>
    <col min="5894" max="5894" width="2.6640625" style="228" customWidth="1"/>
    <col min="5895" max="5895" width="15.6640625" style="228" customWidth="1"/>
    <col min="5896" max="5896" width="2.6640625" style="228" customWidth="1"/>
    <col min="5897" max="5897" width="47" style="228" customWidth="1"/>
    <col min="5898" max="6144" width="11.44140625" style="228"/>
    <col min="6145" max="6145" width="23.6640625" style="228" customWidth="1"/>
    <col min="6146" max="6146" width="2.6640625" style="228" customWidth="1"/>
    <col min="6147" max="6147" width="15.6640625" style="228" customWidth="1"/>
    <col min="6148" max="6148" width="2.6640625" style="228" customWidth="1"/>
    <col min="6149" max="6149" width="15.6640625" style="228" customWidth="1"/>
    <col min="6150" max="6150" width="2.6640625" style="228" customWidth="1"/>
    <col min="6151" max="6151" width="15.6640625" style="228" customWidth="1"/>
    <col min="6152" max="6152" width="2.6640625" style="228" customWidth="1"/>
    <col min="6153" max="6153" width="47" style="228" customWidth="1"/>
    <col min="6154" max="6400" width="11.44140625" style="228"/>
    <col min="6401" max="6401" width="23.6640625" style="228" customWidth="1"/>
    <col min="6402" max="6402" width="2.6640625" style="228" customWidth="1"/>
    <col min="6403" max="6403" width="15.6640625" style="228" customWidth="1"/>
    <col min="6404" max="6404" width="2.6640625" style="228" customWidth="1"/>
    <col min="6405" max="6405" width="15.6640625" style="228" customWidth="1"/>
    <col min="6406" max="6406" width="2.6640625" style="228" customWidth="1"/>
    <col min="6407" max="6407" width="15.6640625" style="228" customWidth="1"/>
    <col min="6408" max="6408" width="2.6640625" style="228" customWidth="1"/>
    <col min="6409" max="6409" width="47" style="228" customWidth="1"/>
    <col min="6410" max="6656" width="11.44140625" style="228"/>
    <col min="6657" max="6657" width="23.6640625" style="228" customWidth="1"/>
    <col min="6658" max="6658" width="2.6640625" style="228" customWidth="1"/>
    <col min="6659" max="6659" width="15.6640625" style="228" customWidth="1"/>
    <col min="6660" max="6660" width="2.6640625" style="228" customWidth="1"/>
    <col min="6661" max="6661" width="15.6640625" style="228" customWidth="1"/>
    <col min="6662" max="6662" width="2.6640625" style="228" customWidth="1"/>
    <col min="6663" max="6663" width="15.6640625" style="228" customWidth="1"/>
    <col min="6664" max="6664" width="2.6640625" style="228" customWidth="1"/>
    <col min="6665" max="6665" width="47" style="228" customWidth="1"/>
    <col min="6666" max="6912" width="11.44140625" style="228"/>
    <col min="6913" max="6913" width="23.6640625" style="228" customWidth="1"/>
    <col min="6914" max="6914" width="2.6640625" style="228" customWidth="1"/>
    <col min="6915" max="6915" width="15.6640625" style="228" customWidth="1"/>
    <col min="6916" max="6916" width="2.6640625" style="228" customWidth="1"/>
    <col min="6917" max="6917" width="15.6640625" style="228" customWidth="1"/>
    <col min="6918" max="6918" width="2.6640625" style="228" customWidth="1"/>
    <col min="6919" max="6919" width="15.6640625" style="228" customWidth="1"/>
    <col min="6920" max="6920" width="2.6640625" style="228" customWidth="1"/>
    <col min="6921" max="6921" width="47" style="228" customWidth="1"/>
    <col min="6922" max="7168" width="11.44140625" style="228"/>
    <col min="7169" max="7169" width="23.6640625" style="228" customWidth="1"/>
    <col min="7170" max="7170" width="2.6640625" style="228" customWidth="1"/>
    <col min="7171" max="7171" width="15.6640625" style="228" customWidth="1"/>
    <col min="7172" max="7172" width="2.6640625" style="228" customWidth="1"/>
    <col min="7173" max="7173" width="15.6640625" style="228" customWidth="1"/>
    <col min="7174" max="7174" width="2.6640625" style="228" customWidth="1"/>
    <col min="7175" max="7175" width="15.6640625" style="228" customWidth="1"/>
    <col min="7176" max="7176" width="2.6640625" style="228" customWidth="1"/>
    <col min="7177" max="7177" width="47" style="228" customWidth="1"/>
    <col min="7178" max="7424" width="11.44140625" style="228"/>
    <col min="7425" max="7425" width="23.6640625" style="228" customWidth="1"/>
    <col min="7426" max="7426" width="2.6640625" style="228" customWidth="1"/>
    <col min="7427" max="7427" width="15.6640625" style="228" customWidth="1"/>
    <col min="7428" max="7428" width="2.6640625" style="228" customWidth="1"/>
    <col min="7429" max="7429" width="15.6640625" style="228" customWidth="1"/>
    <col min="7430" max="7430" width="2.6640625" style="228" customWidth="1"/>
    <col min="7431" max="7431" width="15.6640625" style="228" customWidth="1"/>
    <col min="7432" max="7432" width="2.6640625" style="228" customWidth="1"/>
    <col min="7433" max="7433" width="47" style="228" customWidth="1"/>
    <col min="7434" max="7680" width="11.44140625" style="228"/>
    <col min="7681" max="7681" width="23.6640625" style="228" customWidth="1"/>
    <col min="7682" max="7682" width="2.6640625" style="228" customWidth="1"/>
    <col min="7683" max="7683" width="15.6640625" style="228" customWidth="1"/>
    <col min="7684" max="7684" width="2.6640625" style="228" customWidth="1"/>
    <col min="7685" max="7685" width="15.6640625" style="228" customWidth="1"/>
    <col min="7686" max="7686" width="2.6640625" style="228" customWidth="1"/>
    <col min="7687" max="7687" width="15.6640625" style="228" customWidth="1"/>
    <col min="7688" max="7688" width="2.6640625" style="228" customWidth="1"/>
    <col min="7689" max="7689" width="47" style="228" customWidth="1"/>
    <col min="7690" max="7936" width="11.44140625" style="228"/>
    <col min="7937" max="7937" width="23.6640625" style="228" customWidth="1"/>
    <col min="7938" max="7938" width="2.6640625" style="228" customWidth="1"/>
    <col min="7939" max="7939" width="15.6640625" style="228" customWidth="1"/>
    <col min="7940" max="7940" width="2.6640625" style="228" customWidth="1"/>
    <col min="7941" max="7941" width="15.6640625" style="228" customWidth="1"/>
    <col min="7942" max="7942" width="2.6640625" style="228" customWidth="1"/>
    <col min="7943" max="7943" width="15.6640625" style="228" customWidth="1"/>
    <col min="7944" max="7944" width="2.6640625" style="228" customWidth="1"/>
    <col min="7945" max="7945" width="47" style="228" customWidth="1"/>
    <col min="7946" max="8192" width="11.44140625" style="228"/>
    <col min="8193" max="8193" width="23.6640625" style="228" customWidth="1"/>
    <col min="8194" max="8194" width="2.6640625" style="228" customWidth="1"/>
    <col min="8195" max="8195" width="15.6640625" style="228" customWidth="1"/>
    <col min="8196" max="8196" width="2.6640625" style="228" customWidth="1"/>
    <col min="8197" max="8197" width="15.6640625" style="228" customWidth="1"/>
    <col min="8198" max="8198" width="2.6640625" style="228" customWidth="1"/>
    <col min="8199" max="8199" width="15.6640625" style="228" customWidth="1"/>
    <col min="8200" max="8200" width="2.6640625" style="228" customWidth="1"/>
    <col min="8201" max="8201" width="47" style="228" customWidth="1"/>
    <col min="8202" max="8448" width="11.44140625" style="228"/>
    <col min="8449" max="8449" width="23.6640625" style="228" customWidth="1"/>
    <col min="8450" max="8450" width="2.6640625" style="228" customWidth="1"/>
    <col min="8451" max="8451" width="15.6640625" style="228" customWidth="1"/>
    <col min="8452" max="8452" width="2.6640625" style="228" customWidth="1"/>
    <col min="8453" max="8453" width="15.6640625" style="228" customWidth="1"/>
    <col min="8454" max="8454" width="2.6640625" style="228" customWidth="1"/>
    <col min="8455" max="8455" width="15.6640625" style="228" customWidth="1"/>
    <col min="8456" max="8456" width="2.6640625" style="228" customWidth="1"/>
    <col min="8457" max="8457" width="47" style="228" customWidth="1"/>
    <col min="8458" max="8704" width="11.44140625" style="228"/>
    <col min="8705" max="8705" width="23.6640625" style="228" customWidth="1"/>
    <col min="8706" max="8706" width="2.6640625" style="228" customWidth="1"/>
    <col min="8707" max="8707" width="15.6640625" style="228" customWidth="1"/>
    <col min="8708" max="8708" width="2.6640625" style="228" customWidth="1"/>
    <col min="8709" max="8709" width="15.6640625" style="228" customWidth="1"/>
    <col min="8710" max="8710" width="2.6640625" style="228" customWidth="1"/>
    <col min="8711" max="8711" width="15.6640625" style="228" customWidth="1"/>
    <col min="8712" max="8712" width="2.6640625" style="228" customWidth="1"/>
    <col min="8713" max="8713" width="47" style="228" customWidth="1"/>
    <col min="8714" max="8960" width="11.44140625" style="228"/>
    <col min="8961" max="8961" width="23.6640625" style="228" customWidth="1"/>
    <col min="8962" max="8962" width="2.6640625" style="228" customWidth="1"/>
    <col min="8963" max="8963" width="15.6640625" style="228" customWidth="1"/>
    <col min="8964" max="8964" width="2.6640625" style="228" customWidth="1"/>
    <col min="8965" max="8965" width="15.6640625" style="228" customWidth="1"/>
    <col min="8966" max="8966" width="2.6640625" style="228" customWidth="1"/>
    <col min="8967" max="8967" width="15.6640625" style="228" customWidth="1"/>
    <col min="8968" max="8968" width="2.6640625" style="228" customWidth="1"/>
    <col min="8969" max="8969" width="47" style="228" customWidth="1"/>
    <col min="8970" max="9216" width="11.44140625" style="228"/>
    <col min="9217" max="9217" width="23.6640625" style="228" customWidth="1"/>
    <col min="9218" max="9218" width="2.6640625" style="228" customWidth="1"/>
    <col min="9219" max="9219" width="15.6640625" style="228" customWidth="1"/>
    <col min="9220" max="9220" width="2.6640625" style="228" customWidth="1"/>
    <col min="9221" max="9221" width="15.6640625" style="228" customWidth="1"/>
    <col min="9222" max="9222" width="2.6640625" style="228" customWidth="1"/>
    <col min="9223" max="9223" width="15.6640625" style="228" customWidth="1"/>
    <col min="9224" max="9224" width="2.6640625" style="228" customWidth="1"/>
    <col min="9225" max="9225" width="47" style="228" customWidth="1"/>
    <col min="9226" max="9472" width="11.44140625" style="228"/>
    <col min="9473" max="9473" width="23.6640625" style="228" customWidth="1"/>
    <col min="9474" max="9474" width="2.6640625" style="228" customWidth="1"/>
    <col min="9475" max="9475" width="15.6640625" style="228" customWidth="1"/>
    <col min="9476" max="9476" width="2.6640625" style="228" customWidth="1"/>
    <col min="9477" max="9477" width="15.6640625" style="228" customWidth="1"/>
    <col min="9478" max="9478" width="2.6640625" style="228" customWidth="1"/>
    <col min="9479" max="9479" width="15.6640625" style="228" customWidth="1"/>
    <col min="9480" max="9480" width="2.6640625" style="228" customWidth="1"/>
    <col min="9481" max="9481" width="47" style="228" customWidth="1"/>
    <col min="9482" max="9728" width="11.44140625" style="228"/>
    <col min="9729" max="9729" width="23.6640625" style="228" customWidth="1"/>
    <col min="9730" max="9730" width="2.6640625" style="228" customWidth="1"/>
    <col min="9731" max="9731" width="15.6640625" style="228" customWidth="1"/>
    <col min="9732" max="9732" width="2.6640625" style="228" customWidth="1"/>
    <col min="9733" max="9733" width="15.6640625" style="228" customWidth="1"/>
    <col min="9734" max="9734" width="2.6640625" style="228" customWidth="1"/>
    <col min="9735" max="9735" width="15.6640625" style="228" customWidth="1"/>
    <col min="9736" max="9736" width="2.6640625" style="228" customWidth="1"/>
    <col min="9737" max="9737" width="47" style="228" customWidth="1"/>
    <col min="9738" max="9984" width="11.44140625" style="228"/>
    <col min="9985" max="9985" width="23.6640625" style="228" customWidth="1"/>
    <col min="9986" max="9986" width="2.6640625" style="228" customWidth="1"/>
    <col min="9987" max="9987" width="15.6640625" style="228" customWidth="1"/>
    <col min="9988" max="9988" width="2.6640625" style="228" customWidth="1"/>
    <col min="9989" max="9989" width="15.6640625" style="228" customWidth="1"/>
    <col min="9990" max="9990" width="2.6640625" style="228" customWidth="1"/>
    <col min="9991" max="9991" width="15.6640625" style="228" customWidth="1"/>
    <col min="9992" max="9992" width="2.6640625" style="228" customWidth="1"/>
    <col min="9993" max="9993" width="47" style="228" customWidth="1"/>
    <col min="9994" max="10240" width="11.44140625" style="228"/>
    <col min="10241" max="10241" width="23.6640625" style="228" customWidth="1"/>
    <col min="10242" max="10242" width="2.6640625" style="228" customWidth="1"/>
    <col min="10243" max="10243" width="15.6640625" style="228" customWidth="1"/>
    <col min="10244" max="10244" width="2.6640625" style="228" customWidth="1"/>
    <col min="10245" max="10245" width="15.6640625" style="228" customWidth="1"/>
    <col min="10246" max="10246" width="2.6640625" style="228" customWidth="1"/>
    <col min="10247" max="10247" width="15.6640625" style="228" customWidth="1"/>
    <col min="10248" max="10248" width="2.6640625" style="228" customWidth="1"/>
    <col min="10249" max="10249" width="47" style="228" customWidth="1"/>
    <col min="10250" max="10496" width="11.44140625" style="228"/>
    <col min="10497" max="10497" width="23.6640625" style="228" customWidth="1"/>
    <col min="10498" max="10498" width="2.6640625" style="228" customWidth="1"/>
    <col min="10499" max="10499" width="15.6640625" style="228" customWidth="1"/>
    <col min="10500" max="10500" width="2.6640625" style="228" customWidth="1"/>
    <col min="10501" max="10501" width="15.6640625" style="228" customWidth="1"/>
    <col min="10502" max="10502" width="2.6640625" style="228" customWidth="1"/>
    <col min="10503" max="10503" width="15.6640625" style="228" customWidth="1"/>
    <col min="10504" max="10504" width="2.6640625" style="228" customWidth="1"/>
    <col min="10505" max="10505" width="47" style="228" customWidth="1"/>
    <col min="10506" max="10752" width="11.44140625" style="228"/>
    <col min="10753" max="10753" width="23.6640625" style="228" customWidth="1"/>
    <col min="10754" max="10754" width="2.6640625" style="228" customWidth="1"/>
    <col min="10755" max="10755" width="15.6640625" style="228" customWidth="1"/>
    <col min="10756" max="10756" width="2.6640625" style="228" customWidth="1"/>
    <col min="10757" max="10757" width="15.6640625" style="228" customWidth="1"/>
    <col min="10758" max="10758" width="2.6640625" style="228" customWidth="1"/>
    <col min="10759" max="10759" width="15.6640625" style="228" customWidth="1"/>
    <col min="10760" max="10760" width="2.6640625" style="228" customWidth="1"/>
    <col min="10761" max="10761" width="47" style="228" customWidth="1"/>
    <col min="10762" max="11008" width="11.44140625" style="228"/>
    <col min="11009" max="11009" width="23.6640625" style="228" customWidth="1"/>
    <col min="11010" max="11010" width="2.6640625" style="228" customWidth="1"/>
    <col min="11011" max="11011" width="15.6640625" style="228" customWidth="1"/>
    <col min="11012" max="11012" width="2.6640625" style="228" customWidth="1"/>
    <col min="11013" max="11013" width="15.6640625" style="228" customWidth="1"/>
    <col min="11014" max="11014" width="2.6640625" style="228" customWidth="1"/>
    <col min="11015" max="11015" width="15.6640625" style="228" customWidth="1"/>
    <col min="11016" max="11016" width="2.6640625" style="228" customWidth="1"/>
    <col min="11017" max="11017" width="47" style="228" customWidth="1"/>
    <col min="11018" max="11264" width="11.44140625" style="228"/>
    <col min="11265" max="11265" width="23.6640625" style="228" customWidth="1"/>
    <col min="11266" max="11266" width="2.6640625" style="228" customWidth="1"/>
    <col min="11267" max="11267" width="15.6640625" style="228" customWidth="1"/>
    <col min="11268" max="11268" width="2.6640625" style="228" customWidth="1"/>
    <col min="11269" max="11269" width="15.6640625" style="228" customWidth="1"/>
    <col min="11270" max="11270" width="2.6640625" style="228" customWidth="1"/>
    <col min="11271" max="11271" width="15.6640625" style="228" customWidth="1"/>
    <col min="11272" max="11272" width="2.6640625" style="228" customWidth="1"/>
    <col min="11273" max="11273" width="47" style="228" customWidth="1"/>
    <col min="11274" max="11520" width="11.44140625" style="228"/>
    <col min="11521" max="11521" width="23.6640625" style="228" customWidth="1"/>
    <col min="11522" max="11522" width="2.6640625" style="228" customWidth="1"/>
    <col min="11523" max="11523" width="15.6640625" style="228" customWidth="1"/>
    <col min="11524" max="11524" width="2.6640625" style="228" customWidth="1"/>
    <col min="11525" max="11525" width="15.6640625" style="228" customWidth="1"/>
    <col min="11526" max="11526" width="2.6640625" style="228" customWidth="1"/>
    <col min="11527" max="11527" width="15.6640625" style="228" customWidth="1"/>
    <col min="11528" max="11528" width="2.6640625" style="228" customWidth="1"/>
    <col min="11529" max="11529" width="47" style="228" customWidth="1"/>
    <col min="11530" max="11776" width="11.44140625" style="228"/>
    <col min="11777" max="11777" width="23.6640625" style="228" customWidth="1"/>
    <col min="11778" max="11778" width="2.6640625" style="228" customWidth="1"/>
    <col min="11779" max="11779" width="15.6640625" style="228" customWidth="1"/>
    <col min="11780" max="11780" width="2.6640625" style="228" customWidth="1"/>
    <col min="11781" max="11781" width="15.6640625" style="228" customWidth="1"/>
    <col min="11782" max="11782" width="2.6640625" style="228" customWidth="1"/>
    <col min="11783" max="11783" width="15.6640625" style="228" customWidth="1"/>
    <col min="11784" max="11784" width="2.6640625" style="228" customWidth="1"/>
    <col min="11785" max="11785" width="47" style="228" customWidth="1"/>
    <col min="11786" max="12032" width="11.44140625" style="228"/>
    <col min="12033" max="12033" width="23.6640625" style="228" customWidth="1"/>
    <col min="12034" max="12034" width="2.6640625" style="228" customWidth="1"/>
    <col min="12035" max="12035" width="15.6640625" style="228" customWidth="1"/>
    <col min="12036" max="12036" width="2.6640625" style="228" customWidth="1"/>
    <col min="12037" max="12037" width="15.6640625" style="228" customWidth="1"/>
    <col min="12038" max="12038" width="2.6640625" style="228" customWidth="1"/>
    <col min="12039" max="12039" width="15.6640625" style="228" customWidth="1"/>
    <col min="12040" max="12040" width="2.6640625" style="228" customWidth="1"/>
    <col min="12041" max="12041" width="47" style="228" customWidth="1"/>
    <col min="12042" max="12288" width="11.44140625" style="228"/>
    <col min="12289" max="12289" width="23.6640625" style="228" customWidth="1"/>
    <col min="12290" max="12290" width="2.6640625" style="228" customWidth="1"/>
    <col min="12291" max="12291" width="15.6640625" style="228" customWidth="1"/>
    <col min="12292" max="12292" width="2.6640625" style="228" customWidth="1"/>
    <col min="12293" max="12293" width="15.6640625" style="228" customWidth="1"/>
    <col min="12294" max="12294" width="2.6640625" style="228" customWidth="1"/>
    <col min="12295" max="12295" width="15.6640625" style="228" customWidth="1"/>
    <col min="12296" max="12296" width="2.6640625" style="228" customWidth="1"/>
    <col min="12297" max="12297" width="47" style="228" customWidth="1"/>
    <col min="12298" max="12544" width="11.44140625" style="228"/>
    <col min="12545" max="12545" width="23.6640625" style="228" customWidth="1"/>
    <col min="12546" max="12546" width="2.6640625" style="228" customWidth="1"/>
    <col min="12547" max="12547" width="15.6640625" style="228" customWidth="1"/>
    <col min="12548" max="12548" width="2.6640625" style="228" customWidth="1"/>
    <col min="12549" max="12549" width="15.6640625" style="228" customWidth="1"/>
    <col min="12550" max="12550" width="2.6640625" style="228" customWidth="1"/>
    <col min="12551" max="12551" width="15.6640625" style="228" customWidth="1"/>
    <col min="12552" max="12552" width="2.6640625" style="228" customWidth="1"/>
    <col min="12553" max="12553" width="47" style="228" customWidth="1"/>
    <col min="12554" max="12800" width="11.44140625" style="228"/>
    <col min="12801" max="12801" width="23.6640625" style="228" customWidth="1"/>
    <col min="12802" max="12802" width="2.6640625" style="228" customWidth="1"/>
    <col min="12803" max="12803" width="15.6640625" style="228" customWidth="1"/>
    <col min="12804" max="12804" width="2.6640625" style="228" customWidth="1"/>
    <col min="12805" max="12805" width="15.6640625" style="228" customWidth="1"/>
    <col min="12806" max="12806" width="2.6640625" style="228" customWidth="1"/>
    <col min="12807" max="12807" width="15.6640625" style="228" customWidth="1"/>
    <col min="12808" max="12808" width="2.6640625" style="228" customWidth="1"/>
    <col min="12809" max="12809" width="47" style="228" customWidth="1"/>
    <col min="12810" max="13056" width="11.44140625" style="228"/>
    <col min="13057" max="13057" width="23.6640625" style="228" customWidth="1"/>
    <col min="13058" max="13058" width="2.6640625" style="228" customWidth="1"/>
    <col min="13059" max="13059" width="15.6640625" style="228" customWidth="1"/>
    <col min="13060" max="13060" width="2.6640625" style="228" customWidth="1"/>
    <col min="13061" max="13061" width="15.6640625" style="228" customWidth="1"/>
    <col min="13062" max="13062" width="2.6640625" style="228" customWidth="1"/>
    <col min="13063" max="13063" width="15.6640625" style="228" customWidth="1"/>
    <col min="13064" max="13064" width="2.6640625" style="228" customWidth="1"/>
    <col min="13065" max="13065" width="47" style="228" customWidth="1"/>
    <col min="13066" max="13312" width="11.44140625" style="228"/>
    <col min="13313" max="13313" width="23.6640625" style="228" customWidth="1"/>
    <col min="13314" max="13314" width="2.6640625" style="228" customWidth="1"/>
    <col min="13315" max="13315" width="15.6640625" style="228" customWidth="1"/>
    <col min="13316" max="13316" width="2.6640625" style="228" customWidth="1"/>
    <col min="13317" max="13317" width="15.6640625" style="228" customWidth="1"/>
    <col min="13318" max="13318" width="2.6640625" style="228" customWidth="1"/>
    <col min="13319" max="13319" width="15.6640625" style="228" customWidth="1"/>
    <col min="13320" max="13320" width="2.6640625" style="228" customWidth="1"/>
    <col min="13321" max="13321" width="47" style="228" customWidth="1"/>
    <col min="13322" max="13568" width="11.44140625" style="228"/>
    <col min="13569" max="13569" width="23.6640625" style="228" customWidth="1"/>
    <col min="13570" max="13570" width="2.6640625" style="228" customWidth="1"/>
    <col min="13571" max="13571" width="15.6640625" style="228" customWidth="1"/>
    <col min="13572" max="13572" width="2.6640625" style="228" customWidth="1"/>
    <col min="13573" max="13573" width="15.6640625" style="228" customWidth="1"/>
    <col min="13574" max="13574" width="2.6640625" style="228" customWidth="1"/>
    <col min="13575" max="13575" width="15.6640625" style="228" customWidth="1"/>
    <col min="13576" max="13576" width="2.6640625" style="228" customWidth="1"/>
    <col min="13577" max="13577" width="47" style="228" customWidth="1"/>
    <col min="13578" max="13824" width="11.44140625" style="228"/>
    <col min="13825" max="13825" width="23.6640625" style="228" customWidth="1"/>
    <col min="13826" max="13826" width="2.6640625" style="228" customWidth="1"/>
    <col min="13827" max="13827" width="15.6640625" style="228" customWidth="1"/>
    <col min="13828" max="13828" width="2.6640625" style="228" customWidth="1"/>
    <col min="13829" max="13829" width="15.6640625" style="228" customWidth="1"/>
    <col min="13830" max="13830" width="2.6640625" style="228" customWidth="1"/>
    <col min="13831" max="13831" width="15.6640625" style="228" customWidth="1"/>
    <col min="13832" max="13832" width="2.6640625" style="228" customWidth="1"/>
    <col min="13833" max="13833" width="47" style="228" customWidth="1"/>
    <col min="13834" max="14080" width="11.44140625" style="228"/>
    <col min="14081" max="14081" width="23.6640625" style="228" customWidth="1"/>
    <col min="14082" max="14082" width="2.6640625" style="228" customWidth="1"/>
    <col min="14083" max="14083" width="15.6640625" style="228" customWidth="1"/>
    <col min="14084" max="14084" width="2.6640625" style="228" customWidth="1"/>
    <col min="14085" max="14085" width="15.6640625" style="228" customWidth="1"/>
    <col min="14086" max="14086" width="2.6640625" style="228" customWidth="1"/>
    <col min="14087" max="14087" width="15.6640625" style="228" customWidth="1"/>
    <col min="14088" max="14088" width="2.6640625" style="228" customWidth="1"/>
    <col min="14089" max="14089" width="47" style="228" customWidth="1"/>
    <col min="14090" max="14336" width="11.44140625" style="228"/>
    <col min="14337" max="14337" width="23.6640625" style="228" customWidth="1"/>
    <col min="14338" max="14338" width="2.6640625" style="228" customWidth="1"/>
    <col min="14339" max="14339" width="15.6640625" style="228" customWidth="1"/>
    <col min="14340" max="14340" width="2.6640625" style="228" customWidth="1"/>
    <col min="14341" max="14341" width="15.6640625" style="228" customWidth="1"/>
    <col min="14342" max="14342" width="2.6640625" style="228" customWidth="1"/>
    <col min="14343" max="14343" width="15.6640625" style="228" customWidth="1"/>
    <col min="14344" max="14344" width="2.6640625" style="228" customWidth="1"/>
    <col min="14345" max="14345" width="47" style="228" customWidth="1"/>
    <col min="14346" max="14592" width="11.44140625" style="228"/>
    <col min="14593" max="14593" width="23.6640625" style="228" customWidth="1"/>
    <col min="14594" max="14594" width="2.6640625" style="228" customWidth="1"/>
    <col min="14595" max="14595" width="15.6640625" style="228" customWidth="1"/>
    <col min="14596" max="14596" width="2.6640625" style="228" customWidth="1"/>
    <col min="14597" max="14597" width="15.6640625" style="228" customWidth="1"/>
    <col min="14598" max="14598" width="2.6640625" style="228" customWidth="1"/>
    <col min="14599" max="14599" width="15.6640625" style="228" customWidth="1"/>
    <col min="14600" max="14600" width="2.6640625" style="228" customWidth="1"/>
    <col min="14601" max="14601" width="47" style="228" customWidth="1"/>
    <col min="14602" max="14848" width="11.44140625" style="228"/>
    <col min="14849" max="14849" width="23.6640625" style="228" customWidth="1"/>
    <col min="14850" max="14850" width="2.6640625" style="228" customWidth="1"/>
    <col min="14851" max="14851" width="15.6640625" style="228" customWidth="1"/>
    <col min="14852" max="14852" width="2.6640625" style="228" customWidth="1"/>
    <col min="14853" max="14853" width="15.6640625" style="228" customWidth="1"/>
    <col min="14854" max="14854" width="2.6640625" style="228" customWidth="1"/>
    <col min="14855" max="14855" width="15.6640625" style="228" customWidth="1"/>
    <col min="14856" max="14856" width="2.6640625" style="228" customWidth="1"/>
    <col min="14857" max="14857" width="47" style="228" customWidth="1"/>
    <col min="14858" max="15104" width="11.44140625" style="228"/>
    <col min="15105" max="15105" width="23.6640625" style="228" customWidth="1"/>
    <col min="15106" max="15106" width="2.6640625" style="228" customWidth="1"/>
    <col min="15107" max="15107" width="15.6640625" style="228" customWidth="1"/>
    <col min="15108" max="15108" width="2.6640625" style="228" customWidth="1"/>
    <col min="15109" max="15109" width="15.6640625" style="228" customWidth="1"/>
    <col min="15110" max="15110" width="2.6640625" style="228" customWidth="1"/>
    <col min="15111" max="15111" width="15.6640625" style="228" customWidth="1"/>
    <col min="15112" max="15112" width="2.6640625" style="228" customWidth="1"/>
    <col min="15113" max="15113" width="47" style="228" customWidth="1"/>
    <col min="15114" max="15360" width="11.44140625" style="228"/>
    <col min="15361" max="15361" width="23.6640625" style="228" customWidth="1"/>
    <col min="15362" max="15362" width="2.6640625" style="228" customWidth="1"/>
    <col min="15363" max="15363" width="15.6640625" style="228" customWidth="1"/>
    <col min="15364" max="15364" width="2.6640625" style="228" customWidth="1"/>
    <col min="15365" max="15365" width="15.6640625" style="228" customWidth="1"/>
    <col min="15366" max="15366" width="2.6640625" style="228" customWidth="1"/>
    <col min="15367" max="15367" width="15.6640625" style="228" customWidth="1"/>
    <col min="15368" max="15368" width="2.6640625" style="228" customWidth="1"/>
    <col min="15369" max="15369" width="47" style="228" customWidth="1"/>
    <col min="15370" max="15616" width="11.44140625" style="228"/>
    <col min="15617" max="15617" width="23.6640625" style="228" customWidth="1"/>
    <col min="15618" max="15618" width="2.6640625" style="228" customWidth="1"/>
    <col min="15619" max="15619" width="15.6640625" style="228" customWidth="1"/>
    <col min="15620" max="15620" width="2.6640625" style="228" customWidth="1"/>
    <col min="15621" max="15621" width="15.6640625" style="228" customWidth="1"/>
    <col min="15622" max="15622" width="2.6640625" style="228" customWidth="1"/>
    <col min="15623" max="15623" width="15.6640625" style="228" customWidth="1"/>
    <col min="15624" max="15624" width="2.6640625" style="228" customWidth="1"/>
    <col min="15625" max="15625" width="47" style="228" customWidth="1"/>
    <col min="15626" max="15872" width="11.44140625" style="228"/>
    <col min="15873" max="15873" width="23.6640625" style="228" customWidth="1"/>
    <col min="15874" max="15874" width="2.6640625" style="228" customWidth="1"/>
    <col min="15875" max="15875" width="15.6640625" style="228" customWidth="1"/>
    <col min="15876" max="15876" width="2.6640625" style="228" customWidth="1"/>
    <col min="15877" max="15877" width="15.6640625" style="228" customWidth="1"/>
    <col min="15878" max="15878" width="2.6640625" style="228" customWidth="1"/>
    <col min="15879" max="15879" width="15.6640625" style="228" customWidth="1"/>
    <col min="15880" max="15880" width="2.6640625" style="228" customWidth="1"/>
    <col min="15881" max="15881" width="47" style="228" customWidth="1"/>
    <col min="15882" max="16128" width="11.44140625" style="228"/>
    <col min="16129" max="16129" width="23.6640625" style="228" customWidth="1"/>
    <col min="16130" max="16130" width="2.6640625" style="228" customWidth="1"/>
    <col min="16131" max="16131" width="15.6640625" style="228" customWidth="1"/>
    <col min="16132" max="16132" width="2.6640625" style="228" customWidth="1"/>
    <col min="16133" max="16133" width="15.6640625" style="228" customWidth="1"/>
    <col min="16134" max="16134" width="2.6640625" style="228" customWidth="1"/>
    <col min="16135" max="16135" width="15.6640625" style="228" customWidth="1"/>
    <col min="16136" max="16136" width="2.6640625" style="228" customWidth="1"/>
    <col min="16137" max="16137" width="47" style="228" customWidth="1"/>
    <col min="16138" max="16384" width="11.44140625" style="228"/>
  </cols>
  <sheetData>
    <row r="1" spans="1:11" ht="45.9" customHeight="1">
      <c r="A1" s="442" t="s">
        <v>356</v>
      </c>
      <c r="B1" s="442"/>
      <c r="C1" s="442"/>
      <c r="D1" s="442"/>
      <c r="E1" s="442"/>
      <c r="F1" s="442"/>
      <c r="G1" s="442"/>
      <c r="H1" s="442"/>
      <c r="I1" s="442"/>
    </row>
    <row r="2" spans="1:11" ht="8.25" customHeight="1">
      <c r="A2" s="229"/>
      <c r="B2" s="230"/>
    </row>
    <row r="3" spans="1:11" ht="24" customHeight="1">
      <c r="A3" s="231"/>
      <c r="B3" s="232"/>
      <c r="C3" s="233" t="s">
        <v>357</v>
      </c>
      <c r="D3" s="234"/>
      <c r="E3" s="233" t="s">
        <v>358</v>
      </c>
      <c r="F3" s="234"/>
      <c r="G3" s="233" t="s">
        <v>359</v>
      </c>
      <c r="H3" s="234"/>
      <c r="I3" s="233" t="s">
        <v>360</v>
      </c>
    </row>
    <row r="4" spans="1:11" ht="15" customHeight="1">
      <c r="A4" s="235" t="s">
        <v>361</v>
      </c>
      <c r="B4" s="236"/>
      <c r="C4" s="237">
        <f>'Compte d''exploitation période'!F4</f>
        <v>254991.46808510643</v>
      </c>
      <c r="D4" s="237"/>
      <c r="E4" s="237">
        <v>22060</v>
      </c>
      <c r="F4" s="237"/>
      <c r="G4" s="237">
        <f>E4-C4</f>
        <v>-232931.46808510643</v>
      </c>
      <c r="H4" s="236"/>
      <c r="I4" s="236"/>
    </row>
    <row r="5" spans="1:11" ht="6" customHeight="1">
      <c r="A5" s="235"/>
      <c r="B5" s="236"/>
      <c r="C5" s="237"/>
      <c r="D5" s="237"/>
      <c r="E5" s="237"/>
      <c r="F5" s="237"/>
      <c r="G5" s="237"/>
      <c r="H5" s="236"/>
      <c r="I5" s="238"/>
    </row>
    <row r="6" spans="1:11" ht="15" customHeight="1">
      <c r="A6" s="235" t="s">
        <v>362</v>
      </c>
      <c r="B6" s="236"/>
      <c r="C6" s="237">
        <f>'Compte d''exploitation période'!F6</f>
        <v>191243.60106382982</v>
      </c>
      <c r="D6" s="237"/>
      <c r="E6" s="237">
        <v>15442</v>
      </c>
      <c r="F6" s="237"/>
      <c r="G6" s="237">
        <f>E6-C6</f>
        <v>-175801.60106382982</v>
      </c>
      <c r="H6" s="236"/>
      <c r="I6" s="239"/>
    </row>
    <row r="7" spans="1:11" ht="6" customHeight="1">
      <c r="A7" s="235"/>
      <c r="B7" s="236"/>
      <c r="C7" s="237"/>
      <c r="D7" s="237"/>
      <c r="E7" s="237"/>
      <c r="F7" s="237"/>
      <c r="G7" s="237"/>
      <c r="H7" s="236"/>
      <c r="I7" s="238"/>
    </row>
    <row r="8" spans="1:11" ht="15" customHeight="1">
      <c r="A8" s="235" t="s">
        <v>363</v>
      </c>
      <c r="B8" s="236"/>
      <c r="C8" s="237">
        <f>'Compte d''exploitation période'!D4+'Compte d''exploitation période'!E4</f>
        <v>208629.38297872341</v>
      </c>
      <c r="D8" s="237"/>
      <c r="E8" s="237">
        <v>23300</v>
      </c>
      <c r="F8" s="237"/>
      <c r="G8" s="237">
        <f>E8-C8</f>
        <v>-185329.38297872341</v>
      </c>
      <c r="H8" s="236"/>
      <c r="I8" s="238"/>
    </row>
    <row r="9" spans="1:11" ht="6" customHeight="1">
      <c r="A9" s="235"/>
      <c r="B9" s="236"/>
      <c r="C9" s="237"/>
      <c r="D9" s="237"/>
      <c r="E9" s="237"/>
      <c r="F9" s="237"/>
      <c r="G9" s="237"/>
      <c r="H9" s="236"/>
      <c r="I9" s="238"/>
    </row>
    <row r="10" spans="1:11" ht="15" customHeight="1">
      <c r="A10" s="235" t="s">
        <v>364</v>
      </c>
      <c r="B10" s="236"/>
      <c r="C10" s="237">
        <f>C4-C6+C8</f>
        <v>272377.25</v>
      </c>
      <c r="D10" s="237"/>
      <c r="E10" s="237">
        <f t="shared" ref="E10" si="0">E4-E6+E8</f>
        <v>29918</v>
      </c>
      <c r="F10" s="237"/>
      <c r="G10" s="237">
        <f>E10-C10</f>
        <v>-242459.25</v>
      </c>
      <c r="H10" s="236"/>
      <c r="I10" s="238"/>
    </row>
    <row r="11" spans="1:11" ht="6" customHeight="1">
      <c r="A11" s="235"/>
      <c r="B11" s="236"/>
      <c r="C11" s="237"/>
      <c r="D11" s="237"/>
      <c r="E11" s="237"/>
      <c r="F11" s="237"/>
      <c r="G11" s="237"/>
      <c r="H11" s="236"/>
      <c r="I11" s="236"/>
    </row>
    <row r="12" spans="1:11" ht="15" customHeight="1">
      <c r="A12" s="235" t="s">
        <v>365</v>
      </c>
      <c r="B12" s="236"/>
      <c r="C12" s="237">
        <f>'Compte d''exploitation période'!B11</f>
        <v>54000</v>
      </c>
      <c r="D12" s="237"/>
      <c r="E12" s="237">
        <v>4500</v>
      </c>
      <c r="F12" s="237"/>
      <c r="G12" s="237">
        <f>E12-C12</f>
        <v>-49500</v>
      </c>
      <c r="H12" s="236"/>
      <c r="I12" s="236"/>
    </row>
    <row r="13" spans="1:11" ht="6" customHeight="1">
      <c r="A13" s="235"/>
      <c r="B13" s="236"/>
      <c r="C13" s="237"/>
      <c r="D13" s="237"/>
      <c r="E13" s="237"/>
      <c r="F13" s="237"/>
      <c r="G13" s="237"/>
      <c r="H13" s="236"/>
      <c r="I13" s="236"/>
    </row>
    <row r="14" spans="1:11" ht="15" customHeight="1">
      <c r="A14" s="235" t="s">
        <v>366</v>
      </c>
      <c r="B14" s="236"/>
      <c r="C14" s="237">
        <f>'Compte d''exploitation période'!B13</f>
        <v>81600</v>
      </c>
      <c r="D14" s="237"/>
      <c r="E14" s="237">
        <v>9900</v>
      </c>
      <c r="F14" s="237"/>
      <c r="G14" s="237">
        <f t="shared" ref="G14:G42" si="1">E14-C14</f>
        <v>-71700</v>
      </c>
      <c r="H14" s="236"/>
      <c r="I14" s="236"/>
      <c r="J14" s="240"/>
      <c r="K14" s="240"/>
    </row>
    <row r="15" spans="1:11" ht="6" customHeight="1">
      <c r="A15" s="235"/>
      <c r="B15" s="236"/>
      <c r="C15" s="237"/>
      <c r="D15" s="237"/>
      <c r="E15" s="237"/>
      <c r="F15" s="237"/>
      <c r="G15" s="237"/>
      <c r="H15" s="236"/>
      <c r="I15" s="236"/>
    </row>
    <row r="16" spans="1:11" ht="15" customHeight="1">
      <c r="A16" s="235" t="s">
        <v>367</v>
      </c>
      <c r="B16" s="236"/>
      <c r="C16" s="237">
        <f>'Compte d''exploitation période'!B12</f>
        <v>8767.25</v>
      </c>
      <c r="D16" s="237"/>
      <c r="E16" s="237">
        <v>625</v>
      </c>
      <c r="F16" s="237"/>
      <c r="G16" s="237">
        <f t="shared" si="1"/>
        <v>-8142.25</v>
      </c>
      <c r="H16" s="236"/>
      <c r="I16" s="236"/>
    </row>
    <row r="17" spans="1:9" ht="6" customHeight="1">
      <c r="A17" s="235"/>
      <c r="B17" s="236"/>
      <c r="C17" s="237"/>
      <c r="D17" s="237"/>
      <c r="E17" s="237"/>
      <c r="F17" s="237"/>
      <c r="G17" s="237"/>
      <c r="H17" s="236"/>
      <c r="I17" s="236"/>
    </row>
    <row r="18" spans="1:9" ht="15" customHeight="1">
      <c r="A18" s="235" t="s">
        <v>368</v>
      </c>
      <c r="B18" s="236"/>
      <c r="C18" s="237">
        <f>'Compte d''exploitation période'!B14</f>
        <v>24480</v>
      </c>
      <c r="D18" s="237"/>
      <c r="E18" s="237">
        <v>1842.45</v>
      </c>
      <c r="F18" s="237"/>
      <c r="G18" s="237">
        <f t="shared" si="1"/>
        <v>-22637.55</v>
      </c>
      <c r="H18" s="236"/>
      <c r="I18" s="236"/>
    </row>
    <row r="19" spans="1:9" ht="6" customHeight="1">
      <c r="A19" s="235"/>
      <c r="B19" s="236"/>
      <c r="C19" s="237"/>
      <c r="D19" s="237"/>
      <c r="E19" s="237"/>
      <c r="F19" s="237"/>
      <c r="G19" s="237"/>
      <c r="H19" s="236"/>
      <c r="I19" s="236"/>
    </row>
    <row r="20" spans="1:9" ht="15" customHeight="1">
      <c r="A20" s="235" t="s">
        <v>369</v>
      </c>
      <c r="B20" s="236"/>
      <c r="C20" s="237">
        <f>'Compte d''exploitation période'!B15</f>
        <v>14400</v>
      </c>
      <c r="D20" s="237"/>
      <c r="E20" s="237">
        <v>1000</v>
      </c>
      <c r="F20" s="237"/>
      <c r="G20" s="237">
        <f t="shared" si="1"/>
        <v>-13400</v>
      </c>
      <c r="H20" s="236"/>
      <c r="I20" s="236"/>
    </row>
    <row r="21" spans="1:9" ht="6" customHeight="1">
      <c r="A21" s="235"/>
      <c r="B21" s="236"/>
      <c r="C21" s="237"/>
      <c r="D21" s="237"/>
      <c r="E21" s="237"/>
      <c r="F21" s="237"/>
      <c r="G21" s="237"/>
      <c r="H21" s="236"/>
      <c r="I21" s="236"/>
    </row>
    <row r="22" spans="1:9" ht="15" customHeight="1">
      <c r="A22" s="235" t="s">
        <v>370</v>
      </c>
      <c r="B22" s="236"/>
      <c r="C22" s="237">
        <f>'Compte d''exploitation période'!B26</f>
        <v>840</v>
      </c>
      <c r="D22" s="237"/>
      <c r="E22" s="237">
        <v>90</v>
      </c>
      <c r="F22" s="237"/>
      <c r="G22" s="237">
        <f t="shared" si="1"/>
        <v>-750</v>
      </c>
      <c r="H22" s="236"/>
      <c r="I22" s="236"/>
    </row>
    <row r="23" spans="1:9" ht="6" customHeight="1">
      <c r="A23" s="235"/>
      <c r="B23" s="236"/>
      <c r="C23" s="237"/>
      <c r="D23" s="237"/>
      <c r="E23" s="237"/>
      <c r="F23" s="237"/>
      <c r="G23" s="237"/>
      <c r="H23" s="236"/>
      <c r="I23" s="236"/>
    </row>
    <row r="24" spans="1:9" ht="15" customHeight="1">
      <c r="A24" s="235" t="s">
        <v>371</v>
      </c>
      <c r="B24" s="236"/>
      <c r="C24" s="237">
        <f>'Compte d''exploitation période'!B17</f>
        <v>3120</v>
      </c>
      <c r="D24" s="237"/>
      <c r="E24" s="237">
        <v>216.65</v>
      </c>
      <c r="F24" s="237"/>
      <c r="G24" s="237">
        <f t="shared" si="1"/>
        <v>-2903.35</v>
      </c>
      <c r="H24" s="236"/>
      <c r="I24" s="236"/>
    </row>
    <row r="25" spans="1:9" ht="6" customHeight="1">
      <c r="A25" s="235"/>
      <c r="B25" s="236"/>
      <c r="C25" s="237"/>
      <c r="D25" s="237"/>
      <c r="E25" s="237"/>
      <c r="F25" s="237"/>
      <c r="G25" s="237"/>
      <c r="H25" s="236"/>
      <c r="I25" s="236"/>
    </row>
    <row r="26" spans="1:9" ht="15" customHeight="1">
      <c r="A26" s="235" t="s">
        <v>372</v>
      </c>
      <c r="B26" s="236"/>
      <c r="C26" s="237">
        <f>'Compte d''exploitation période'!B19</f>
        <v>1020</v>
      </c>
      <c r="D26" s="237"/>
      <c r="E26" s="237">
        <v>83.35</v>
      </c>
      <c r="F26" s="237"/>
      <c r="G26" s="237">
        <f t="shared" si="1"/>
        <v>-936.65</v>
      </c>
      <c r="H26" s="236"/>
      <c r="I26" s="236"/>
    </row>
    <row r="27" spans="1:9" ht="6" customHeight="1">
      <c r="A27" s="235"/>
      <c r="B27" s="236"/>
      <c r="C27" s="237"/>
      <c r="D27" s="237"/>
      <c r="E27" s="237"/>
      <c r="F27" s="237"/>
      <c r="G27" s="237"/>
      <c r="H27" s="236"/>
      <c r="I27" s="236"/>
    </row>
    <row r="28" spans="1:9" ht="15" customHeight="1">
      <c r="A28" s="235" t="s">
        <v>373</v>
      </c>
      <c r="B28" s="236"/>
      <c r="C28" s="237">
        <f>'Compte d''exploitation période'!B23+'Compte d''exploitation période'!B22++'Compte d''exploitation période'!B21</f>
        <v>5400</v>
      </c>
      <c r="D28" s="237"/>
      <c r="E28" s="237">
        <v>1025</v>
      </c>
      <c r="F28" s="237"/>
      <c r="G28" s="237">
        <f t="shared" si="1"/>
        <v>-4375</v>
      </c>
      <c r="H28" s="236"/>
      <c r="I28" s="236"/>
    </row>
    <row r="29" spans="1:9" ht="6" customHeight="1">
      <c r="A29" s="235"/>
      <c r="B29" s="236"/>
      <c r="C29" s="237"/>
      <c r="D29" s="237"/>
      <c r="E29" s="237"/>
      <c r="F29" s="237"/>
      <c r="G29" s="237"/>
      <c r="H29" s="236"/>
      <c r="I29" s="236"/>
    </row>
    <row r="30" spans="1:9" ht="15" customHeight="1">
      <c r="A30" s="235" t="s">
        <v>374</v>
      </c>
      <c r="B30" s="236"/>
      <c r="C30" s="237">
        <f>'Compte d''exploitation période'!B16</f>
        <v>960</v>
      </c>
      <c r="D30" s="237"/>
      <c r="E30" s="237"/>
      <c r="F30" s="237"/>
      <c r="G30" s="237">
        <f t="shared" si="1"/>
        <v>-960</v>
      </c>
      <c r="H30" s="236"/>
      <c r="I30" s="236"/>
    </row>
    <row r="31" spans="1:9" ht="6" customHeight="1">
      <c r="A31" s="235"/>
      <c r="B31" s="236"/>
      <c r="C31" s="237"/>
      <c r="D31" s="237"/>
      <c r="E31" s="237"/>
      <c r="F31" s="237"/>
      <c r="G31" s="237"/>
      <c r="H31" s="236"/>
      <c r="I31" s="236"/>
    </row>
    <row r="32" spans="1:9" ht="15" customHeight="1">
      <c r="A32" s="235" t="s">
        <v>375</v>
      </c>
      <c r="B32" s="236"/>
      <c r="C32" s="237">
        <f>'Compte d''exploitation période'!B24</f>
        <v>66000</v>
      </c>
      <c r="D32" s="237"/>
      <c r="E32" s="237">
        <v>5666.6</v>
      </c>
      <c r="F32" s="237"/>
      <c r="G32" s="237">
        <f t="shared" si="1"/>
        <v>-60333.4</v>
      </c>
      <c r="H32" s="236"/>
      <c r="I32" s="236"/>
    </row>
    <row r="33" spans="1:9" ht="6" customHeight="1">
      <c r="A33" s="235"/>
      <c r="B33" s="236"/>
      <c r="C33" s="237"/>
      <c r="D33" s="237"/>
      <c r="E33" s="237"/>
      <c r="F33" s="237"/>
      <c r="G33" s="237"/>
      <c r="H33" s="236"/>
      <c r="I33" s="236"/>
    </row>
    <row r="34" spans="1:9" ht="15" customHeight="1">
      <c r="A34" s="235" t="s">
        <v>376</v>
      </c>
      <c r="B34" s="236"/>
      <c r="C34" s="237">
        <f>'Compte d''exploitation période'!B25</f>
        <v>3000</v>
      </c>
      <c r="D34" s="237"/>
      <c r="E34" s="237"/>
      <c r="F34" s="237"/>
      <c r="G34" s="237">
        <f t="shared" si="1"/>
        <v>-3000</v>
      </c>
      <c r="H34" s="236"/>
      <c r="I34" s="236"/>
    </row>
    <row r="35" spans="1:9" ht="6" customHeight="1">
      <c r="A35" s="235"/>
      <c r="B35" s="236"/>
      <c r="C35" s="237"/>
      <c r="D35" s="237"/>
      <c r="E35" s="237"/>
      <c r="F35" s="237"/>
      <c r="G35" s="237"/>
      <c r="H35" s="236"/>
      <c r="I35" s="236"/>
    </row>
    <row r="36" spans="1:9" ht="15" customHeight="1">
      <c r="A36" s="235" t="s">
        <v>377</v>
      </c>
      <c r="B36" s="236"/>
      <c r="C36" s="237">
        <f>'Compte d''exploitation période'!B18</f>
        <v>2040</v>
      </c>
      <c r="D36" s="237"/>
      <c r="E36" s="237">
        <v>1035</v>
      </c>
      <c r="F36" s="237"/>
      <c r="G36" s="237">
        <f t="shared" si="1"/>
        <v>-1005</v>
      </c>
      <c r="H36" s="236"/>
      <c r="I36" s="236"/>
    </row>
    <row r="37" spans="1:9" ht="6" customHeight="1">
      <c r="A37" s="235"/>
      <c r="B37" s="236"/>
      <c r="C37" s="237"/>
      <c r="D37" s="237"/>
      <c r="E37" s="237"/>
      <c r="F37" s="237"/>
      <c r="G37" s="237"/>
      <c r="H37" s="236"/>
      <c r="I37" s="236"/>
    </row>
    <row r="38" spans="1:9" ht="15" customHeight="1">
      <c r="A38" s="235" t="s">
        <v>111</v>
      </c>
      <c r="B38" s="236"/>
      <c r="C38" s="237">
        <f>'Compte d''exploitation période'!B27</f>
        <v>6750</v>
      </c>
      <c r="D38" s="237"/>
      <c r="E38" s="237">
        <v>701.7</v>
      </c>
      <c r="F38" s="237"/>
      <c r="G38" s="237">
        <f t="shared" si="1"/>
        <v>-6048.3</v>
      </c>
      <c r="H38" s="236"/>
      <c r="I38" s="236"/>
    </row>
    <row r="39" spans="1:9" ht="6" customHeight="1">
      <c r="A39" s="235"/>
      <c r="B39" s="236"/>
      <c r="C39" s="237"/>
      <c r="D39" s="237"/>
      <c r="E39" s="237"/>
      <c r="F39" s="237"/>
      <c r="G39" s="237"/>
      <c r="H39" s="236"/>
      <c r="I39" s="236"/>
    </row>
    <row r="40" spans="1:9" ht="15" customHeight="1">
      <c r="A40" s="235" t="s">
        <v>378</v>
      </c>
      <c r="B40" s="236"/>
      <c r="C40" s="237">
        <v>0</v>
      </c>
      <c r="D40" s="237"/>
      <c r="E40" s="237"/>
      <c r="F40" s="237"/>
      <c r="G40" s="237">
        <f t="shared" si="1"/>
        <v>0</v>
      </c>
      <c r="H40" s="236"/>
      <c r="I40" s="236"/>
    </row>
    <row r="41" spans="1:9" ht="6" customHeight="1">
      <c r="A41" s="235"/>
      <c r="B41" s="236"/>
      <c r="C41" s="237"/>
      <c r="D41" s="237"/>
      <c r="E41" s="237"/>
      <c r="F41" s="237"/>
      <c r="G41" s="237"/>
      <c r="H41" s="236"/>
      <c r="I41" s="236"/>
    </row>
    <row r="42" spans="1:9" ht="15" customHeight="1" thickBot="1">
      <c r="A42" s="241" t="s">
        <v>379</v>
      </c>
      <c r="B42" s="242"/>
      <c r="C42" s="243">
        <f>C10-C12-C14-C16-C18-C20-C22-C24-C26-C28-C30-C32-C34-C36-C38-C40</f>
        <v>0</v>
      </c>
      <c r="D42" s="244"/>
      <c r="E42" s="244">
        <f>E10-E12-E14-E16-E18-E20-E22-E24-E26-E28-E30-E32-E34-E36-E38-E40</f>
        <v>3232.2499999999991</v>
      </c>
      <c r="F42" s="244"/>
      <c r="G42" s="244">
        <f t="shared" si="1"/>
        <v>3232.2499999999991</v>
      </c>
      <c r="H42" s="242"/>
      <c r="I42" s="242"/>
    </row>
    <row r="43" spans="1:9" ht="14.4" thickTop="1">
      <c r="A43" s="245"/>
      <c r="B43" s="245"/>
    </row>
    <row r="44" spans="1:9">
      <c r="A44" s="245"/>
      <c r="B44" s="245"/>
    </row>
    <row r="45" spans="1:9">
      <c r="A45" s="245"/>
      <c r="B45" s="245"/>
      <c r="C45" s="246"/>
    </row>
    <row r="46" spans="1:9">
      <c r="A46" s="245"/>
      <c r="B46" s="245"/>
    </row>
    <row r="47" spans="1:9">
      <c r="A47" s="245"/>
      <c r="B47" s="245"/>
    </row>
    <row r="48" spans="1:9">
      <c r="B48" s="245"/>
    </row>
    <row r="49" spans="2:2">
      <c r="B49" s="245"/>
    </row>
    <row r="50" spans="2:2">
      <c r="B50" s="245"/>
    </row>
    <row r="51" spans="2:2">
      <c r="B51" s="245"/>
    </row>
    <row r="52" spans="2:2">
      <c r="B52" s="245"/>
    </row>
    <row r="53" spans="2:2">
      <c r="B53" s="245"/>
    </row>
    <row r="54" spans="2:2">
      <c r="B54" s="245"/>
    </row>
    <row r="55" spans="2:2">
      <c r="B55" s="245"/>
    </row>
    <row r="56" spans="2:2">
      <c r="B56" s="245"/>
    </row>
    <row r="57" spans="2:2">
      <c r="B57" s="245"/>
    </row>
    <row r="58" spans="2:2">
      <c r="B58" s="245"/>
    </row>
    <row r="59" spans="2:2">
      <c r="B59" s="245"/>
    </row>
    <row r="60" spans="2:2">
      <c r="B60" s="245"/>
    </row>
    <row r="61" spans="2:2">
      <c r="B61" s="245"/>
    </row>
    <row r="62" spans="2:2">
      <c r="B62" s="245"/>
    </row>
    <row r="63" spans="2:2">
      <c r="B63" s="245"/>
    </row>
    <row r="64" spans="2:2">
      <c r="B64" s="245"/>
    </row>
    <row r="65" spans="2:2">
      <c r="B65" s="245"/>
    </row>
    <row r="66" spans="2:2">
      <c r="B66" s="245"/>
    </row>
    <row r="67" spans="2:2">
      <c r="B67" s="245"/>
    </row>
    <row r="68" spans="2:2">
      <c r="B68" s="245"/>
    </row>
    <row r="69" spans="2:2">
      <c r="B69" s="245"/>
    </row>
    <row r="70" spans="2:2">
      <c r="B70" s="245"/>
    </row>
    <row r="71" spans="2:2">
      <c r="B71" s="245"/>
    </row>
    <row r="72" spans="2:2">
      <c r="B72" s="245"/>
    </row>
    <row r="73" spans="2:2">
      <c r="B73" s="245"/>
    </row>
    <row r="74" spans="2:2">
      <c r="B74" s="245"/>
    </row>
    <row r="75" spans="2:2">
      <c r="B75" s="245"/>
    </row>
    <row r="76" spans="2:2">
      <c r="B76" s="245"/>
    </row>
    <row r="77" spans="2:2">
      <c r="B77" s="245"/>
    </row>
    <row r="78" spans="2:2">
      <c r="B78" s="245"/>
    </row>
    <row r="79" spans="2:2">
      <c r="B79" s="245"/>
    </row>
    <row r="80" spans="2:2">
      <c r="B80" s="245"/>
    </row>
    <row r="81" spans="2:2">
      <c r="B81" s="245"/>
    </row>
    <row r="82" spans="2:2">
      <c r="B82" s="245"/>
    </row>
    <row r="83" spans="2:2">
      <c r="B83" s="245"/>
    </row>
    <row r="84" spans="2:2">
      <c r="B84" s="245"/>
    </row>
    <row r="85" spans="2:2">
      <c r="B85" s="245"/>
    </row>
    <row r="86" spans="2:2">
      <c r="B86" s="245"/>
    </row>
    <row r="87" spans="2:2">
      <c r="B87" s="245"/>
    </row>
    <row r="88" spans="2:2">
      <c r="B88" s="245"/>
    </row>
    <row r="89" spans="2:2">
      <c r="B89" s="245"/>
    </row>
    <row r="90" spans="2:2">
      <c r="B90" s="245"/>
    </row>
    <row r="91" spans="2:2">
      <c r="B91" s="245"/>
    </row>
    <row r="92" spans="2:2">
      <c r="B92" s="245"/>
    </row>
    <row r="93" spans="2:2">
      <c r="B93" s="245"/>
    </row>
    <row r="94" spans="2:2">
      <c r="B94" s="245"/>
    </row>
    <row r="95" spans="2:2">
      <c r="B95" s="245"/>
    </row>
    <row r="96" spans="2:2">
      <c r="B96" s="245"/>
    </row>
    <row r="97" spans="2:2">
      <c r="B97" s="245"/>
    </row>
    <row r="98" spans="2:2">
      <c r="B98" s="245"/>
    </row>
    <row r="99" spans="2:2">
      <c r="B99" s="245"/>
    </row>
    <row r="100" spans="2:2">
      <c r="B100" s="245"/>
    </row>
    <row r="101" spans="2:2">
      <c r="B101" s="245"/>
    </row>
    <row r="102" spans="2:2">
      <c r="B102" s="245"/>
    </row>
    <row r="103" spans="2:2">
      <c r="B103" s="245"/>
    </row>
    <row r="104" spans="2:2">
      <c r="B104" s="245"/>
    </row>
    <row r="105" spans="2:2">
      <c r="B105" s="245"/>
    </row>
    <row r="106" spans="2:2">
      <c r="B106" s="245"/>
    </row>
    <row r="107" spans="2:2">
      <c r="B107" s="245"/>
    </row>
    <row r="108" spans="2:2">
      <c r="B108" s="245"/>
    </row>
    <row r="109" spans="2:2">
      <c r="B109" s="245"/>
    </row>
    <row r="110" spans="2:2">
      <c r="B110" s="245"/>
    </row>
    <row r="111" spans="2:2">
      <c r="B111" s="245"/>
    </row>
    <row r="112" spans="2:2">
      <c r="B112" s="245"/>
    </row>
    <row r="113" spans="2:2">
      <c r="B113" s="245"/>
    </row>
    <row r="114" spans="2:2">
      <c r="B114" s="245"/>
    </row>
    <row r="115" spans="2:2">
      <c r="B115" s="245"/>
    </row>
    <row r="116" spans="2:2">
      <c r="B116" s="245"/>
    </row>
    <row r="117" spans="2:2">
      <c r="B117" s="245"/>
    </row>
    <row r="118" spans="2:2">
      <c r="B118" s="245"/>
    </row>
    <row r="119" spans="2:2">
      <c r="B119" s="245"/>
    </row>
    <row r="120" spans="2:2">
      <c r="B120" s="245"/>
    </row>
    <row r="121" spans="2:2">
      <c r="B121" s="245"/>
    </row>
    <row r="122" spans="2:2">
      <c r="B122" s="245"/>
    </row>
    <row r="123" spans="2:2">
      <c r="B123" s="245"/>
    </row>
    <row r="124" spans="2:2">
      <c r="B124" s="245"/>
    </row>
    <row r="125" spans="2:2">
      <c r="B125" s="245"/>
    </row>
    <row r="126" spans="2:2">
      <c r="B126" s="245"/>
    </row>
    <row r="127" spans="2:2">
      <c r="B127" s="245"/>
    </row>
  </sheetData>
  <dataConsolidate/>
  <mergeCells count="1">
    <mergeCell ref="A1:I1"/>
  </mergeCells>
  <printOptions horizontalCentered="1"/>
  <pageMargins left="0.78740157480314965" right="0.78740157480314965" top="0.51181102362204722" bottom="0.51181102362204722" header="0.51181102362204722" footer="0.51181102362204722"/>
  <pageSetup paperSize="9"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pageSetUpPr fitToPage="1"/>
  </sheetPr>
  <dimension ref="A1:I49"/>
  <sheetViews>
    <sheetView showZeros="0" topLeftCell="A31" workbookViewId="0">
      <selection activeCell="K8" sqref="K8"/>
    </sheetView>
  </sheetViews>
  <sheetFormatPr baseColWidth="10" defaultColWidth="10.88671875" defaultRowHeight="13.8"/>
  <cols>
    <col min="1" max="2" width="9.109375" style="21" customWidth="1"/>
    <col min="3" max="3" width="11.109375" style="21" customWidth="1"/>
    <col min="4" max="7" width="9.109375" style="21" customWidth="1"/>
    <col min="8" max="8" width="4.44140625" style="21" customWidth="1"/>
    <col min="9" max="9" width="14.88671875" style="21" customWidth="1"/>
    <col min="10" max="256" width="9.109375" style="21" customWidth="1"/>
    <col min="257" max="16384" width="10.88671875" style="21"/>
  </cols>
  <sheetData>
    <row r="1" spans="1:9" ht="42" customHeight="1">
      <c r="A1" s="282"/>
      <c r="B1" s="282"/>
      <c r="C1" s="282"/>
      <c r="D1" s="282"/>
      <c r="E1" s="282"/>
      <c r="F1" s="282"/>
      <c r="G1" s="282"/>
      <c r="H1" s="282"/>
      <c r="I1" s="282"/>
    </row>
    <row r="2" spans="1:9">
      <c r="A2" s="282"/>
      <c r="B2" s="282"/>
      <c r="C2" s="282"/>
      <c r="D2" s="282"/>
      <c r="E2" s="282"/>
      <c r="F2" s="282"/>
      <c r="G2" s="282"/>
      <c r="H2" s="282"/>
      <c r="I2" s="282"/>
    </row>
    <row r="3" spans="1:9" ht="27.75" customHeight="1">
      <c r="A3" s="282"/>
      <c r="B3" s="282"/>
      <c r="C3" s="282"/>
      <c r="D3" s="282"/>
      <c r="E3" s="282"/>
      <c r="F3" s="282"/>
      <c r="G3" s="282"/>
      <c r="H3" s="282"/>
      <c r="I3" s="282"/>
    </row>
    <row r="4" spans="1:9">
      <c r="A4" s="282"/>
      <c r="B4" s="282"/>
      <c r="C4" s="282"/>
      <c r="D4" s="282"/>
      <c r="E4" s="282"/>
      <c r="F4" s="282"/>
      <c r="G4" s="282"/>
      <c r="H4" s="282"/>
      <c r="I4" s="282"/>
    </row>
    <row r="5" spans="1:9">
      <c r="A5" s="282"/>
      <c r="B5" s="282"/>
      <c r="C5" s="282"/>
      <c r="D5" s="282"/>
      <c r="E5" s="282"/>
      <c r="F5" s="282"/>
      <c r="G5" s="282"/>
      <c r="H5" s="282"/>
      <c r="I5" s="282"/>
    </row>
    <row r="6" spans="1:9">
      <c r="A6" s="282"/>
      <c r="B6" s="282"/>
      <c r="C6" s="282"/>
      <c r="D6" s="282"/>
      <c r="E6" s="282"/>
      <c r="F6" s="282"/>
      <c r="G6" s="282"/>
      <c r="H6" s="282"/>
      <c r="I6" s="282"/>
    </row>
    <row r="7" spans="1:9" ht="12.6" customHeight="1">
      <c r="A7" s="282"/>
      <c r="B7" s="282"/>
      <c r="C7" s="282"/>
      <c r="D7" s="282"/>
      <c r="E7" s="282"/>
      <c r="F7" s="282"/>
      <c r="G7" s="282"/>
      <c r="H7" s="282"/>
      <c r="I7" s="282"/>
    </row>
    <row r="8" spans="1:9" ht="62.4" customHeight="1">
      <c r="A8" s="280" t="s">
        <v>346</v>
      </c>
      <c r="B8" s="280"/>
      <c r="C8" s="280"/>
      <c r="D8" s="280"/>
      <c r="E8" s="280"/>
      <c r="F8" s="280"/>
      <c r="G8" s="280"/>
      <c r="H8" s="280"/>
      <c r="I8" s="280"/>
    </row>
    <row r="9" spans="1:9" ht="12.75" customHeight="1">
      <c r="A9" s="282"/>
      <c r="B9" s="282"/>
      <c r="C9" s="282"/>
      <c r="D9" s="282"/>
      <c r="E9" s="282"/>
      <c r="F9" s="282"/>
      <c r="G9" s="282"/>
      <c r="H9" s="282"/>
      <c r="I9" s="282"/>
    </row>
    <row r="10" spans="1:9" ht="25.35" customHeight="1">
      <c r="A10" s="281" t="s">
        <v>94</v>
      </c>
      <c r="B10" s="281"/>
      <c r="C10" s="281"/>
      <c r="D10" s="281"/>
      <c r="E10" s="281"/>
      <c r="F10" s="281"/>
      <c r="G10" s="281"/>
      <c r="H10" s="281"/>
      <c r="I10" s="281"/>
    </row>
    <row r="11" spans="1:9" ht="12.75" customHeight="1">
      <c r="A11" s="282"/>
      <c r="B11" s="282"/>
      <c r="C11" s="282"/>
      <c r="D11" s="282"/>
      <c r="E11" s="282"/>
      <c r="F11" s="282"/>
      <c r="G11" s="282"/>
      <c r="H11" s="282"/>
      <c r="I11" s="282"/>
    </row>
    <row r="12" spans="1:9" ht="12.75" customHeight="1">
      <c r="A12" s="282"/>
      <c r="B12" s="282"/>
      <c r="C12" s="282"/>
      <c r="D12" s="282"/>
      <c r="E12" s="282"/>
      <c r="F12" s="282"/>
      <c r="G12" s="282"/>
      <c r="H12" s="282"/>
      <c r="I12" s="282"/>
    </row>
    <row r="13" spans="1:9" ht="12.75" customHeight="1">
      <c r="A13" s="282"/>
      <c r="B13" s="282"/>
      <c r="C13" s="282"/>
      <c r="D13" s="282"/>
      <c r="E13" s="282"/>
      <c r="F13" s="282"/>
      <c r="G13" s="282"/>
      <c r="H13" s="282"/>
      <c r="I13" s="282"/>
    </row>
    <row r="14" spans="1:9" ht="12.75" customHeight="1">
      <c r="A14" s="282"/>
      <c r="B14" s="282"/>
      <c r="C14" s="282"/>
      <c r="D14" s="282"/>
      <c r="E14" s="282"/>
      <c r="F14" s="282"/>
      <c r="G14" s="282"/>
      <c r="H14" s="282"/>
      <c r="I14" s="282"/>
    </row>
    <row r="15" spans="1:9" ht="12.75" customHeight="1">
      <c r="A15" s="282"/>
      <c r="B15" s="282"/>
      <c r="C15" s="282"/>
      <c r="D15" s="282"/>
      <c r="E15" s="282"/>
      <c r="F15" s="282"/>
      <c r="G15" s="282"/>
      <c r="H15" s="282"/>
      <c r="I15" s="282"/>
    </row>
    <row r="16" spans="1:9" ht="12.75" customHeight="1">
      <c r="A16" s="284" t="str">
        <f>Informations!B15</f>
        <v>RCC - Robert Cabinet Conseil</v>
      </c>
      <c r="B16" s="284"/>
      <c r="C16" s="284"/>
      <c r="D16" s="284"/>
      <c r="E16" s="284"/>
      <c r="F16" s="284"/>
      <c r="G16" s="284"/>
      <c r="H16" s="284"/>
      <c r="I16" s="284"/>
    </row>
    <row r="17" spans="1:9">
      <c r="A17" s="284"/>
      <c r="B17" s="284"/>
      <c r="C17" s="284"/>
      <c r="D17" s="284"/>
      <c r="E17" s="284"/>
      <c r="F17" s="284"/>
      <c r="G17" s="284"/>
      <c r="H17" s="284"/>
      <c r="I17" s="284"/>
    </row>
    <row r="18" spans="1:9">
      <c r="A18" s="284"/>
      <c r="B18" s="284"/>
      <c r="C18" s="284"/>
      <c r="D18" s="284"/>
      <c r="E18" s="284"/>
      <c r="F18" s="284"/>
      <c r="G18" s="284"/>
      <c r="H18" s="284"/>
      <c r="I18" s="284"/>
    </row>
    <row r="19" spans="1:9">
      <c r="A19" s="284"/>
      <c r="B19" s="284"/>
      <c r="C19" s="284"/>
      <c r="D19" s="284"/>
      <c r="E19" s="284"/>
      <c r="F19" s="284"/>
      <c r="G19" s="284"/>
      <c r="H19" s="284"/>
      <c r="I19" s="284"/>
    </row>
    <row r="20" spans="1:9">
      <c r="A20" s="284"/>
      <c r="B20" s="284"/>
      <c r="C20" s="284"/>
      <c r="D20" s="284"/>
      <c r="E20" s="284"/>
      <c r="F20" s="284"/>
      <c r="G20" s="284"/>
      <c r="H20" s="284"/>
      <c r="I20" s="284"/>
    </row>
    <row r="21" spans="1:9">
      <c r="A21" s="282"/>
      <c r="B21" s="282"/>
      <c r="C21" s="282"/>
      <c r="D21" s="282"/>
      <c r="E21" s="282"/>
      <c r="F21" s="282"/>
      <c r="G21" s="282"/>
      <c r="H21" s="282"/>
      <c r="I21" s="282"/>
    </row>
    <row r="22" spans="1:9">
      <c r="A22" s="282"/>
      <c r="B22" s="282"/>
      <c r="C22" s="282"/>
      <c r="D22" s="282"/>
      <c r="E22" s="282"/>
      <c r="F22" s="282"/>
      <c r="G22" s="282"/>
      <c r="H22" s="282"/>
      <c r="I22" s="282"/>
    </row>
    <row r="23" spans="1:9">
      <c r="A23" s="282"/>
      <c r="B23" s="282"/>
      <c r="C23" s="282"/>
      <c r="D23" s="282"/>
      <c r="E23" s="282"/>
      <c r="F23" s="282"/>
      <c r="G23" s="282"/>
      <c r="H23" s="282"/>
      <c r="I23" s="282"/>
    </row>
    <row r="24" spans="1:9">
      <c r="A24" s="282"/>
      <c r="B24" s="282"/>
      <c r="C24" s="282"/>
      <c r="D24" s="282"/>
      <c r="E24" s="282"/>
      <c r="F24" s="282"/>
      <c r="G24" s="282"/>
      <c r="H24" s="282"/>
      <c r="I24" s="282"/>
    </row>
    <row r="25" spans="1:9">
      <c r="A25" s="282"/>
      <c r="B25" s="282"/>
      <c r="C25" s="282"/>
      <c r="D25" s="282"/>
      <c r="E25" s="282"/>
      <c r="F25" s="282"/>
      <c r="G25" s="282"/>
      <c r="H25" s="282"/>
      <c r="I25" s="282"/>
    </row>
    <row r="26" spans="1:9">
      <c r="A26" s="282"/>
      <c r="B26" s="282"/>
      <c r="C26" s="282"/>
      <c r="D26" s="282"/>
      <c r="E26" s="282"/>
      <c r="F26" s="282"/>
      <c r="G26" s="282"/>
      <c r="H26" s="282"/>
      <c r="I26" s="282"/>
    </row>
    <row r="27" spans="1:9">
      <c r="A27" s="282"/>
      <c r="B27" s="282"/>
      <c r="C27" s="282"/>
      <c r="D27" s="282"/>
      <c r="E27" s="282"/>
      <c r="F27" s="282"/>
      <c r="G27" s="282"/>
      <c r="H27" s="282"/>
      <c r="I27" s="282"/>
    </row>
    <row r="28" spans="1:9">
      <c r="A28" s="282"/>
      <c r="B28" s="282"/>
      <c r="C28" s="282"/>
      <c r="D28" s="282"/>
      <c r="E28" s="282"/>
      <c r="F28" s="282"/>
      <c r="G28" s="282"/>
      <c r="H28" s="282"/>
      <c r="I28" s="282"/>
    </row>
    <row r="29" spans="1:9">
      <c r="A29" s="282"/>
      <c r="B29" s="282"/>
      <c r="C29" s="282"/>
      <c r="D29" s="282"/>
      <c r="E29" s="282"/>
      <c r="F29" s="282"/>
      <c r="G29" s="282"/>
      <c r="H29" s="282"/>
      <c r="I29" s="282"/>
    </row>
    <row r="30" spans="1:9">
      <c r="A30" s="282"/>
      <c r="B30" s="282"/>
      <c r="C30" s="282"/>
      <c r="D30" s="282"/>
      <c r="E30" s="282"/>
      <c r="F30" s="282"/>
      <c r="G30" s="282"/>
      <c r="H30" s="282"/>
      <c r="I30" s="282"/>
    </row>
    <row r="31" spans="1:9">
      <c r="A31" s="282"/>
      <c r="B31" s="282"/>
      <c r="C31" s="282"/>
      <c r="D31" s="282"/>
      <c r="E31" s="282"/>
      <c r="F31" s="282"/>
      <c r="G31" s="282"/>
      <c r="H31" s="282"/>
      <c r="I31" s="282"/>
    </row>
    <row r="32" spans="1:9">
      <c r="A32" s="282"/>
      <c r="B32" s="282"/>
      <c r="C32" s="282"/>
      <c r="D32" s="282"/>
      <c r="E32" s="282"/>
      <c r="F32" s="282"/>
      <c r="G32" s="282"/>
      <c r="H32" s="282"/>
      <c r="I32" s="282"/>
    </row>
    <row r="33" spans="1:9">
      <c r="A33" s="282"/>
      <c r="B33" s="282"/>
      <c r="C33" s="282"/>
      <c r="D33" s="282"/>
      <c r="E33" s="282"/>
      <c r="F33" s="282"/>
      <c r="G33" s="282"/>
      <c r="H33" s="282"/>
      <c r="I33" s="282"/>
    </row>
    <row r="34" spans="1:9">
      <c r="A34" s="282"/>
      <c r="B34" s="282"/>
      <c r="C34" s="282"/>
      <c r="D34" s="282"/>
      <c r="E34" s="282"/>
      <c r="F34" s="282"/>
      <c r="G34" s="282"/>
      <c r="H34" s="282"/>
      <c r="I34" s="282"/>
    </row>
    <row r="35" spans="1:9">
      <c r="A35" s="282"/>
      <c r="B35" s="282"/>
      <c r="C35" s="282"/>
      <c r="D35" s="282"/>
      <c r="E35" s="282"/>
      <c r="F35" s="282"/>
      <c r="G35" s="282"/>
      <c r="H35" s="282"/>
      <c r="I35" s="282"/>
    </row>
    <row r="36" spans="1:9">
      <c r="A36" s="282"/>
      <c r="B36" s="282"/>
      <c r="C36" s="282"/>
      <c r="D36" s="282"/>
      <c r="E36" s="282"/>
      <c r="F36" s="282"/>
      <c r="G36" s="282"/>
      <c r="H36" s="282"/>
      <c r="I36" s="282"/>
    </row>
    <row r="37" spans="1:9">
      <c r="A37" s="282"/>
      <c r="B37" s="282"/>
      <c r="C37" s="282"/>
      <c r="D37" s="282"/>
      <c r="E37" s="282"/>
      <c r="F37" s="282"/>
      <c r="G37" s="282"/>
      <c r="H37" s="282"/>
      <c r="I37" s="282"/>
    </row>
    <row r="38" spans="1:9">
      <c r="A38" s="282"/>
      <c r="B38" s="282"/>
      <c r="C38" s="282"/>
      <c r="D38" s="282"/>
      <c r="E38" s="282"/>
      <c r="F38" s="282"/>
      <c r="G38" s="282"/>
      <c r="H38" s="282"/>
      <c r="I38" s="282"/>
    </row>
    <row r="39" spans="1:9">
      <c r="A39" s="282"/>
      <c r="B39" s="282"/>
      <c r="C39" s="282"/>
      <c r="D39" s="282"/>
      <c r="E39" s="282"/>
      <c r="F39" s="282"/>
      <c r="G39" s="282"/>
      <c r="H39" s="282"/>
      <c r="I39" s="282"/>
    </row>
    <row r="40" spans="1:9">
      <c r="A40" s="282"/>
      <c r="B40" s="282"/>
      <c r="C40" s="282"/>
      <c r="D40" s="282"/>
      <c r="E40" s="282"/>
      <c r="F40" s="282"/>
      <c r="G40" s="282"/>
      <c r="H40" s="282"/>
      <c r="I40" s="282"/>
    </row>
    <row r="41" spans="1:9">
      <c r="A41" s="282"/>
      <c r="B41" s="282"/>
      <c r="C41" s="282"/>
      <c r="D41" s="282"/>
      <c r="E41" s="282"/>
      <c r="F41" s="282"/>
      <c r="G41" s="282"/>
      <c r="H41" s="282"/>
      <c r="I41" s="282"/>
    </row>
    <row r="42" spans="1:9">
      <c r="A42" s="282"/>
      <c r="B42" s="282"/>
      <c r="C42" s="282"/>
      <c r="D42" s="282"/>
      <c r="E42" s="282"/>
      <c r="F42" s="282"/>
      <c r="G42" s="282"/>
      <c r="H42" s="282"/>
      <c r="I42" s="282"/>
    </row>
    <row r="43" spans="1:9">
      <c r="A43" s="282"/>
      <c r="B43" s="282"/>
      <c r="C43" s="282"/>
      <c r="D43" s="282"/>
      <c r="E43" s="282"/>
      <c r="F43" s="282"/>
      <c r="G43" s="282"/>
      <c r="H43" s="282"/>
      <c r="I43" s="282"/>
    </row>
    <row r="44" spans="1:9" ht="15.6">
      <c r="A44" s="282"/>
      <c r="B44" s="282"/>
      <c r="C44" s="282"/>
      <c r="D44" s="282"/>
      <c r="E44" s="282"/>
      <c r="F44" s="279" t="str">
        <f>Informations!B5</f>
        <v>Robert Daniel</v>
      </c>
      <c r="G44" s="279"/>
      <c r="H44" s="279"/>
      <c r="I44" s="279"/>
    </row>
    <row r="45" spans="1:9" ht="15.6">
      <c r="A45" s="282"/>
      <c r="B45" s="282"/>
      <c r="C45" s="282"/>
      <c r="D45" s="282"/>
      <c r="E45" s="282"/>
      <c r="F45" s="279" t="str">
        <f>Informations!B6</f>
        <v>Rue du Nord 15</v>
      </c>
      <c r="G45" s="279"/>
      <c r="H45" s="279"/>
      <c r="I45" s="279"/>
    </row>
    <row r="46" spans="1:9" ht="15.6">
      <c r="A46" s="282"/>
      <c r="B46" s="282"/>
      <c r="C46" s="282"/>
      <c r="D46" s="282"/>
      <c r="E46" s="282"/>
      <c r="F46" s="279" t="str">
        <f>Informations!B7</f>
        <v>2000 Neuchâtel</v>
      </c>
      <c r="G46" s="279"/>
      <c r="H46" s="279"/>
      <c r="I46" s="279"/>
    </row>
    <row r="47" spans="1:9" ht="15.6" customHeight="1">
      <c r="A47" s="282"/>
      <c r="B47" s="282"/>
      <c r="C47" s="282"/>
      <c r="D47" s="282"/>
      <c r="E47" s="282"/>
      <c r="F47" s="282"/>
      <c r="G47" s="282"/>
      <c r="H47" s="282"/>
      <c r="I47" s="282"/>
    </row>
    <row r="48" spans="1:9" ht="15.6">
      <c r="A48" s="282"/>
      <c r="B48" s="282"/>
      <c r="C48" s="282"/>
      <c r="D48" s="282"/>
      <c r="E48" s="282"/>
      <c r="F48" s="279" t="str">
        <f>Informations!B9</f>
        <v>032 / 725 44 45</v>
      </c>
      <c r="G48" s="279"/>
      <c r="H48" s="279"/>
      <c r="I48" s="279"/>
    </row>
    <row r="49" spans="1:9" ht="15.6">
      <c r="A49" s="22" t="s">
        <v>308</v>
      </c>
      <c r="B49" s="22"/>
      <c r="C49" s="227">
        <v>44797</v>
      </c>
      <c r="D49" s="283"/>
      <c r="E49" s="283"/>
      <c r="F49" s="279" t="str">
        <f>Informations!B10</f>
        <v>robert@rcc.ch</v>
      </c>
      <c r="G49" s="279"/>
      <c r="H49" s="279"/>
      <c r="I49" s="279"/>
    </row>
  </sheetData>
  <mergeCells count="16">
    <mergeCell ref="A1:I7"/>
    <mergeCell ref="A9:I9"/>
    <mergeCell ref="A11:I15"/>
    <mergeCell ref="A16:I20"/>
    <mergeCell ref="F46:I46"/>
    <mergeCell ref="F48:I48"/>
    <mergeCell ref="F49:I49"/>
    <mergeCell ref="A8:I8"/>
    <mergeCell ref="A10:I10"/>
    <mergeCell ref="F44:I44"/>
    <mergeCell ref="F45:I45"/>
    <mergeCell ref="A21:I43"/>
    <mergeCell ref="A47:I47"/>
    <mergeCell ref="A48:E48"/>
    <mergeCell ref="D49:E49"/>
    <mergeCell ref="A44:E46"/>
  </mergeCells>
  <phoneticPr fontId="4" type="noConversion"/>
  <pageMargins left="0.78740157480314965" right="0.78740157480314965" top="0.98425196850393704" bottom="0.59055118110236227" header="0.51181102362204722" footer="0.51181102362204722"/>
  <pageSetup paperSize="9" orientation="portrait" r:id="rId1"/>
  <headerFooter scaleWithDoc="0" alignWithMargins="0"/>
  <drawing r:id="rId2"/>
  <legacyDrawing r:id="rId3"/>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pageSetUpPr fitToPage="1"/>
  </sheetPr>
  <dimension ref="A1:E34"/>
  <sheetViews>
    <sheetView showZeros="0" zoomScale="90" workbookViewId="0">
      <selection activeCell="G5" sqref="G5"/>
    </sheetView>
  </sheetViews>
  <sheetFormatPr baseColWidth="10" defaultRowHeight="13.2"/>
  <cols>
    <col min="1" max="1" width="48.88671875" bestFit="1" customWidth="1"/>
    <col min="2" max="3" width="18.44140625" customWidth="1"/>
    <col min="4" max="256" width="9.109375" customWidth="1"/>
  </cols>
  <sheetData>
    <row r="1" spans="1:5" ht="36" customHeight="1">
      <c r="A1" s="443" t="s">
        <v>264</v>
      </c>
      <c r="B1" s="443"/>
      <c r="C1" s="443"/>
      <c r="D1" s="3"/>
      <c r="E1" s="3"/>
    </row>
    <row r="2" spans="1:5">
      <c r="A2" s="1"/>
      <c r="B2" s="2"/>
    </row>
    <row r="3" spans="1:5">
      <c r="A3" s="216" t="s">
        <v>283</v>
      </c>
      <c r="B3" s="217" t="s">
        <v>284</v>
      </c>
      <c r="C3" s="217" t="s">
        <v>285</v>
      </c>
    </row>
    <row r="4" spans="1:5">
      <c r="A4" s="224" t="s">
        <v>179</v>
      </c>
      <c r="B4" s="225"/>
      <c r="C4" s="225"/>
    </row>
    <row r="5" spans="1:5" ht="41.25" customHeight="1">
      <c r="A5" s="218" t="s">
        <v>180</v>
      </c>
      <c r="B5" s="219">
        <f>IF('Bilan initial'!B19=0,0,'Bilan initial'!B34/'Bilan initial'!B19)</f>
        <v>1</v>
      </c>
      <c r="C5" s="219">
        <f>IF('Bilan final'!B19=0,0,'Bilan final'!B35/'Bilan final'!B19)</f>
        <v>0.88196217214985084</v>
      </c>
    </row>
    <row r="6" spans="1:5" ht="41.25" customHeight="1">
      <c r="A6" s="218" t="s">
        <v>181</v>
      </c>
      <c r="B6" s="219">
        <f>1-B5</f>
        <v>0</v>
      </c>
      <c r="C6" s="219">
        <f>1-C5</f>
        <v>0.11803782785014916</v>
      </c>
    </row>
    <row r="7" spans="1:5" ht="41.25" customHeight="1">
      <c r="A7" s="218" t="s">
        <v>3</v>
      </c>
      <c r="B7" s="219">
        <f>IF('Bilan initial'!B17=0,0,'Bilan initial'!B34/'Bilan initial'!B17)</f>
        <v>1.8181818181818181</v>
      </c>
      <c r="C7" s="219">
        <f>IF('Bilan final'!B17=0,0,'Bilan final'!B35/'Bilan final'!B17)</f>
        <v>1.9580419580419581</v>
      </c>
    </row>
    <row r="8" spans="1:5" ht="41.25" customHeight="1">
      <c r="A8" s="218" t="s">
        <v>4</v>
      </c>
      <c r="B8" s="219">
        <f>IF('Bilan initial'!B17=0,0,('Bilan initial'!B34+'Bilan initial'!B30)/'Bilan initial'!B17)</f>
        <v>1.8181818181818181</v>
      </c>
      <c r="C8" s="219">
        <f>IF('Bilan final'!B17=0,0,('Bilan final'!B35+'Bilan final'!B30)/'Bilan final'!B17)</f>
        <v>1.9580419580419581</v>
      </c>
    </row>
    <row r="9" spans="1:5" ht="41.25" customHeight="1">
      <c r="A9" s="218" t="s">
        <v>5</v>
      </c>
      <c r="B9" s="219">
        <f>IF(('Bilan initial'!B17+'Bilan initial'!B7)=0,0,('Bilan initial'!B34+'Bilan initial'!B30)/('Bilan initial'!B17+'Bilan initial'!B7))</f>
        <v>1.8181818181818181</v>
      </c>
      <c r="C9" s="219">
        <f>IF(('Bilan final'!B17+'Bilan final'!B7)=0,0,('Bilan final'!B35+'Bilan final'!B30)/('Bilan final'!B17+'Bilan final'!B7))</f>
        <v>1.9580419580419581</v>
      </c>
    </row>
    <row r="10" spans="1:5">
      <c r="A10" s="218"/>
      <c r="B10" s="220"/>
      <c r="C10" s="221"/>
    </row>
    <row r="11" spans="1:5">
      <c r="A11" s="444" t="s">
        <v>182</v>
      </c>
      <c r="B11" s="444"/>
      <c r="C11" s="444"/>
    </row>
    <row r="12" spans="1:5" ht="21.75" customHeight="1">
      <c r="A12" s="218" t="s">
        <v>183</v>
      </c>
      <c r="B12" s="219" t="str">
        <f>IF('Bilan initial'!B25=0,"-",('Bilan initial'!B5)/'Bilan initial'!B25)</f>
        <v>-</v>
      </c>
      <c r="C12" s="219">
        <f>IF('Bilan final'!B25=0,"-",('Bilan final'!B5)/'Bilan final'!B25)</f>
        <v>0.5319337458139084</v>
      </c>
    </row>
    <row r="13" spans="1:5" ht="21.75" customHeight="1">
      <c r="A13" s="218" t="s">
        <v>184</v>
      </c>
      <c r="B13" s="219" t="str">
        <f>IF('Bilan initial'!B25=0,"-",('Bilan initial'!B5+'Bilan initial'!B6)/'Bilan initial'!B25)</f>
        <v>-</v>
      </c>
      <c r="C13" s="219">
        <f>IF('Bilan final'!B25=0,"-",('Bilan final'!B5+'Bilan final'!B6)/'Bilan final'!B25)</f>
        <v>4.6558745550719358</v>
      </c>
    </row>
    <row r="14" spans="1:5" ht="21.75" customHeight="1">
      <c r="A14" s="218" t="s">
        <v>185</v>
      </c>
      <c r="B14" s="219" t="str">
        <f>IF('Bilan initial'!B25=0,"-",'Bilan initial'!B8/'Bilan initial'!B25)</f>
        <v>-</v>
      </c>
      <c r="C14" s="219">
        <f>IF('Bilan final'!B25=0,"-",'Bilan final'!B8/'Bilan final'!B25)</f>
        <v>4.6558745550719358</v>
      </c>
    </row>
    <row r="15" spans="1:5">
      <c r="A15" s="218"/>
      <c r="B15" s="219"/>
      <c r="C15" s="221"/>
    </row>
    <row r="16" spans="1:5">
      <c r="A16" s="444" t="s">
        <v>82</v>
      </c>
      <c r="B16" s="444"/>
      <c r="C16" s="444"/>
    </row>
    <row r="17" spans="1:3" ht="21.75" customHeight="1">
      <c r="A17" s="222" t="s">
        <v>80</v>
      </c>
      <c r="B17" s="445">
        <f>IF('Compte d''exploitation période'!K1=0,0,('Compte d''exploitation période'!B28/'Compte d''exploitation période'!K1)*3)</f>
        <v>68094.3125</v>
      </c>
      <c r="C17" s="445"/>
    </row>
    <row r="18" spans="1:3" ht="21.75" customHeight="1">
      <c r="A18" s="222" t="s">
        <v>81</v>
      </c>
      <c r="B18" s="445">
        <f>'Bilan initial'!B5</f>
        <v>31500</v>
      </c>
      <c r="C18" s="445"/>
    </row>
    <row r="19" spans="1:3" ht="21.75" customHeight="1">
      <c r="A19" s="223" t="s">
        <v>286</v>
      </c>
      <c r="B19" s="448">
        <f>B17-B18</f>
        <v>36594.3125</v>
      </c>
      <c r="C19" s="448"/>
    </row>
    <row r="20" spans="1:3">
      <c r="A20" s="221"/>
      <c r="B20" s="221"/>
      <c r="C20" s="221"/>
    </row>
    <row r="21" spans="1:3">
      <c r="A21" s="444" t="s">
        <v>187</v>
      </c>
      <c r="B21" s="444"/>
      <c r="C21" s="444"/>
    </row>
    <row r="22" spans="1:3" ht="21.75" customHeight="1">
      <c r="A22" s="218" t="s">
        <v>0</v>
      </c>
      <c r="B22" s="445">
        <f>'Compte d''exploitation période'!B4</f>
        <v>463620.85106382985</v>
      </c>
      <c r="C22" s="445"/>
    </row>
    <row r="23" spans="1:3" ht="21.75" customHeight="1">
      <c r="A23" s="218" t="s">
        <v>1</v>
      </c>
      <c r="B23" s="445">
        <f>IF('Compte d''exploitation période'!K1=0,0,B22/'Compte d''exploitation période'!K1)</f>
        <v>38635.070921985818</v>
      </c>
      <c r="C23" s="445"/>
    </row>
    <row r="24" spans="1:3" ht="21.75" customHeight="1">
      <c r="A24" s="218" t="s">
        <v>2</v>
      </c>
      <c r="B24" s="445">
        <f>'Compte d''exploitation période'!B34:C34</f>
        <v>1942.2741980051521</v>
      </c>
      <c r="C24" s="445"/>
    </row>
    <row r="25" spans="1:3" ht="21.75" customHeight="1">
      <c r="A25" s="218" t="s">
        <v>186</v>
      </c>
      <c r="B25" s="447">
        <f>IF('Bilan initial'!B34=0,0,'Compte d''exploitation période'!B29/'Bilan initial'!B34)</f>
        <v>0</v>
      </c>
      <c r="C25" s="447"/>
    </row>
    <row r="26" spans="1:3" ht="21.75" customHeight="1">
      <c r="A26" s="218" t="s">
        <v>187</v>
      </c>
      <c r="B26" s="447">
        <f>IF('Bilan initial'!B19=0,0,('Compte d''exploitation période'!B29+'Compte d''exploitation période'!B26)/'Bilan initial'!B19)</f>
        <v>1.2E-2</v>
      </c>
      <c r="C26" s="447"/>
    </row>
    <row r="27" spans="1:3" ht="21.75" customHeight="1">
      <c r="A27" s="218" t="s">
        <v>282</v>
      </c>
      <c r="B27" s="447">
        <f>'Compte d''exploitation période'!B8/100</f>
        <v>0.58750000000000002</v>
      </c>
      <c r="C27" s="447"/>
    </row>
    <row r="28" spans="1:3" ht="21.75" customHeight="1">
      <c r="A28" s="218" t="s">
        <v>246</v>
      </c>
      <c r="B28" s="447">
        <f>IF('Compte d''exploitation période'!B4=0,0,('Compte d''exploitation période'!B29+'Compte d''exploitation période'!B27)/'Compte d''exploitation période'!B4)</f>
        <v>1.4559310661958733E-2</v>
      </c>
      <c r="C28" s="447"/>
    </row>
    <row r="30" spans="1:3">
      <c r="A30" s="449" t="s">
        <v>265</v>
      </c>
      <c r="B30" s="450"/>
      <c r="C30" s="451"/>
    </row>
    <row r="31" spans="1:3">
      <c r="A31" s="446"/>
      <c r="B31" s="446"/>
      <c r="C31" s="446"/>
    </row>
    <row r="32" spans="1:3">
      <c r="A32" s="446"/>
      <c r="B32" s="446"/>
      <c r="C32" s="446"/>
    </row>
    <row r="33" spans="1:3">
      <c r="A33" s="446"/>
      <c r="B33" s="446"/>
      <c r="C33" s="446"/>
    </row>
    <row r="34" spans="1:3">
      <c r="A34" s="446"/>
      <c r="B34" s="446"/>
      <c r="C34" s="446"/>
    </row>
  </sheetData>
  <sheetProtection algorithmName="SHA-512" hashValue="/6oF0TyXzoH82upLJsQOS9jz1teZGVwrFwFiuAe9UkmSjg7cwgJrkAFyGqAp2NCW499dOVhYn9SEDcQPZpRA4Q==" saltValue="YaXNBy38/E9lM4kBwXs0ig==" spinCount="100000" sheet="1" objects="1" scenarios="1"/>
  <mergeCells count="16">
    <mergeCell ref="A1:C1"/>
    <mergeCell ref="A11:C11"/>
    <mergeCell ref="A16:C16"/>
    <mergeCell ref="B17:C17"/>
    <mergeCell ref="A31:C34"/>
    <mergeCell ref="B26:C26"/>
    <mergeCell ref="B27:C27"/>
    <mergeCell ref="B28:C28"/>
    <mergeCell ref="B18:C18"/>
    <mergeCell ref="B19:C19"/>
    <mergeCell ref="A21:C21"/>
    <mergeCell ref="A30:C30"/>
    <mergeCell ref="B25:C25"/>
    <mergeCell ref="B22:C22"/>
    <mergeCell ref="B23:C23"/>
    <mergeCell ref="B24:C24"/>
  </mergeCells>
  <phoneticPr fontId="4" type="noConversion"/>
  <pageMargins left="0.78740157480314965" right="0.78740157480314965" top="0.98425196850393704" bottom="0.78740157480314965" header="0.51181102362204722" footer="0.39370078740157483"/>
  <pageSetup paperSize="9" orientation="portrait"/>
  <headerFooter scaleWithDoc="0"/>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pageSetUpPr fitToPage="1"/>
  </sheetPr>
  <dimension ref="A1:I35"/>
  <sheetViews>
    <sheetView workbookViewId="0">
      <selection activeCell="F30" sqref="F30"/>
    </sheetView>
  </sheetViews>
  <sheetFormatPr baseColWidth="10" defaultColWidth="10.88671875" defaultRowHeight="13.8"/>
  <cols>
    <col min="1" max="8" width="9.109375" style="18" customWidth="1"/>
    <col min="9" max="9" width="13.44140625" style="18" customWidth="1"/>
    <col min="10" max="256" width="9.109375" style="18" customWidth="1"/>
    <col min="257" max="16384" width="10.88671875" style="18"/>
  </cols>
  <sheetData>
    <row r="1" spans="1:9" ht="36" customHeight="1">
      <c r="A1" s="285" t="s">
        <v>162</v>
      </c>
      <c r="B1" s="285"/>
      <c r="C1" s="285"/>
      <c r="D1" s="285"/>
      <c r="E1" s="285"/>
      <c r="F1" s="285"/>
      <c r="G1" s="285"/>
      <c r="H1" s="285"/>
      <c r="I1" s="285"/>
    </row>
    <row r="2" spans="1:9">
      <c r="A2" s="23"/>
      <c r="B2" s="23"/>
      <c r="C2" s="23"/>
      <c r="D2" s="23"/>
      <c r="E2" s="23"/>
      <c r="F2" s="23"/>
      <c r="G2" s="23"/>
      <c r="H2" s="23"/>
      <c r="I2" s="23"/>
    </row>
    <row r="3" spans="1:9" ht="18">
      <c r="A3" s="286" t="s">
        <v>347</v>
      </c>
      <c r="B3" s="286"/>
      <c r="C3" s="286"/>
      <c r="D3" s="286"/>
      <c r="E3" s="286"/>
      <c r="F3" s="286"/>
      <c r="G3" s="286"/>
      <c r="H3" s="286"/>
      <c r="I3" s="286"/>
    </row>
    <row r="4" spans="1:9" ht="18" customHeight="1">
      <c r="A4" s="23"/>
      <c r="B4" s="23"/>
      <c r="C4" s="23"/>
      <c r="D4" s="23"/>
      <c r="E4" s="23"/>
      <c r="F4" s="23"/>
      <c r="G4" s="23"/>
      <c r="H4" s="23"/>
      <c r="I4" s="23"/>
    </row>
    <row r="5" spans="1:9" ht="18">
      <c r="A5" s="286" t="s">
        <v>275</v>
      </c>
      <c r="B5" s="286"/>
      <c r="C5" s="286"/>
      <c r="D5" s="286"/>
      <c r="E5" s="286"/>
      <c r="F5" s="286"/>
      <c r="G5" s="286"/>
      <c r="H5" s="286"/>
      <c r="I5" s="286"/>
    </row>
    <row r="6" spans="1:9" ht="18" customHeight="1">
      <c r="A6" s="23"/>
      <c r="B6" s="23"/>
      <c r="C6" s="23"/>
      <c r="D6" s="23"/>
      <c r="E6" s="23"/>
      <c r="F6" s="23"/>
      <c r="G6" s="23"/>
      <c r="H6" s="23"/>
      <c r="I6" s="23"/>
    </row>
    <row r="7" spans="1:9" ht="18">
      <c r="A7" s="286" t="s">
        <v>266</v>
      </c>
      <c r="B7" s="286"/>
      <c r="C7" s="286"/>
      <c r="D7" s="286"/>
      <c r="E7" s="286"/>
      <c r="F7" s="286"/>
      <c r="G7" s="286"/>
      <c r="H7" s="286"/>
      <c r="I7" s="286"/>
    </row>
    <row r="8" spans="1:9" ht="18" customHeight="1">
      <c r="A8" s="23"/>
      <c r="B8" s="23"/>
      <c r="C8" s="23"/>
      <c r="D8" s="23"/>
      <c r="E8" s="23"/>
      <c r="F8" s="23"/>
      <c r="G8" s="23"/>
      <c r="H8" s="23"/>
      <c r="I8" s="23"/>
    </row>
    <row r="9" spans="1:9" ht="18">
      <c r="A9" s="286" t="s">
        <v>256</v>
      </c>
      <c r="B9" s="286"/>
      <c r="C9" s="286"/>
      <c r="D9" s="286"/>
      <c r="E9" s="286"/>
      <c r="F9" s="286"/>
      <c r="G9" s="286"/>
      <c r="H9" s="286"/>
      <c r="I9" s="286"/>
    </row>
    <row r="10" spans="1:9" ht="18" customHeight="1">
      <c r="A10" s="24"/>
      <c r="B10" s="23"/>
      <c r="C10" s="23"/>
      <c r="D10" s="23"/>
      <c r="E10" s="23"/>
      <c r="F10" s="23"/>
      <c r="G10" s="23"/>
      <c r="H10" s="23"/>
      <c r="I10" s="23"/>
    </row>
    <row r="11" spans="1:9" ht="18">
      <c r="A11" s="286" t="s">
        <v>257</v>
      </c>
      <c r="B11" s="286"/>
      <c r="C11" s="286"/>
      <c r="D11" s="286"/>
      <c r="E11" s="286"/>
      <c r="F11" s="286"/>
      <c r="G11" s="286"/>
      <c r="H11" s="286"/>
      <c r="I11" s="286"/>
    </row>
    <row r="12" spans="1:9" ht="18" customHeight="1">
      <c r="A12" s="24"/>
      <c r="B12" s="23"/>
      <c r="C12" s="23"/>
      <c r="D12" s="23"/>
      <c r="E12" s="23"/>
      <c r="F12" s="23"/>
      <c r="G12" s="23"/>
      <c r="H12" s="23"/>
      <c r="I12" s="23"/>
    </row>
    <row r="13" spans="1:9" ht="18">
      <c r="A13" s="286" t="s">
        <v>258</v>
      </c>
      <c r="B13" s="286"/>
      <c r="C13" s="286"/>
      <c r="D13" s="286"/>
      <c r="E13" s="286"/>
      <c r="F13" s="286"/>
      <c r="G13" s="286"/>
      <c r="H13" s="286"/>
      <c r="I13" s="286"/>
    </row>
    <row r="14" spans="1:9" ht="18" customHeight="1">
      <c r="A14" s="24"/>
      <c r="B14" s="23"/>
      <c r="C14" s="23"/>
      <c r="D14" s="23"/>
      <c r="E14" s="23"/>
      <c r="F14" s="23"/>
      <c r="G14" s="23"/>
      <c r="H14" s="23"/>
      <c r="I14" s="23"/>
    </row>
    <row r="15" spans="1:9" ht="18">
      <c r="A15" s="286" t="s">
        <v>267</v>
      </c>
      <c r="B15" s="286"/>
      <c r="C15" s="286"/>
      <c r="D15" s="286"/>
      <c r="E15" s="286"/>
      <c r="F15" s="286"/>
      <c r="G15" s="286"/>
      <c r="H15" s="286"/>
      <c r="I15" s="286"/>
    </row>
    <row r="16" spans="1:9" ht="18" customHeight="1">
      <c r="A16" s="24"/>
      <c r="B16" s="23"/>
      <c r="C16" s="23"/>
      <c r="D16" s="23"/>
      <c r="E16" s="23"/>
      <c r="F16" s="23"/>
      <c r="G16" s="23"/>
      <c r="H16" s="23"/>
      <c r="I16" s="23"/>
    </row>
    <row r="17" spans="1:9" ht="18">
      <c r="A17" s="286" t="s">
        <v>268</v>
      </c>
      <c r="B17" s="286"/>
      <c r="C17" s="286"/>
      <c r="D17" s="286"/>
      <c r="E17" s="286"/>
      <c r="F17" s="286"/>
      <c r="G17" s="286"/>
      <c r="H17" s="286"/>
      <c r="I17" s="286"/>
    </row>
    <row r="18" spans="1:9" ht="18" customHeight="1">
      <c r="A18" s="24"/>
      <c r="B18" s="23"/>
      <c r="C18" s="23"/>
      <c r="D18" s="23"/>
      <c r="E18" s="23"/>
      <c r="F18" s="23"/>
      <c r="G18" s="23"/>
      <c r="H18" s="23"/>
      <c r="I18" s="23"/>
    </row>
    <row r="19" spans="1:9" ht="18">
      <c r="A19" s="286" t="s">
        <v>269</v>
      </c>
      <c r="B19" s="286"/>
      <c r="C19" s="286"/>
      <c r="D19" s="286"/>
      <c r="E19" s="286"/>
      <c r="F19" s="286"/>
      <c r="G19" s="286"/>
      <c r="H19" s="286"/>
      <c r="I19" s="286"/>
    </row>
    <row r="20" spans="1:9" ht="18" customHeight="1">
      <c r="A20" s="24"/>
      <c r="B20" s="23"/>
      <c r="C20" s="23"/>
      <c r="D20" s="23"/>
      <c r="E20" s="23"/>
      <c r="F20" s="23"/>
      <c r="G20" s="23"/>
      <c r="H20" s="23"/>
      <c r="I20" s="23"/>
    </row>
    <row r="21" spans="1:9" ht="18">
      <c r="A21" s="286" t="s">
        <v>270</v>
      </c>
      <c r="B21" s="286"/>
      <c r="C21" s="286"/>
      <c r="D21" s="286"/>
      <c r="E21" s="286"/>
      <c r="F21" s="286"/>
      <c r="G21" s="286"/>
      <c r="H21" s="286"/>
      <c r="I21" s="286"/>
    </row>
    <row r="22" spans="1:9" ht="18" customHeight="1">
      <c r="A22" s="24"/>
      <c r="B22" s="23"/>
      <c r="C22" s="23"/>
      <c r="D22" s="23"/>
      <c r="E22" s="23"/>
      <c r="F22" s="23"/>
      <c r="G22" s="23"/>
      <c r="H22" s="23"/>
      <c r="I22" s="23"/>
    </row>
    <row r="23" spans="1:9" ht="18">
      <c r="A23" s="286" t="s">
        <v>261</v>
      </c>
      <c r="B23" s="286"/>
      <c r="C23" s="286"/>
      <c r="D23" s="286"/>
      <c r="E23" s="286"/>
      <c r="F23" s="286"/>
      <c r="G23" s="286"/>
      <c r="H23" s="286"/>
      <c r="I23" s="286"/>
    </row>
    <row r="24" spans="1:9" ht="18" customHeight="1">
      <c r="A24" s="24"/>
      <c r="B24" s="23"/>
      <c r="C24" s="23"/>
      <c r="D24" s="23"/>
      <c r="E24" s="23"/>
      <c r="F24" s="23"/>
      <c r="G24" s="23"/>
      <c r="H24" s="23"/>
      <c r="I24" s="23"/>
    </row>
    <row r="25" spans="1:9" ht="18">
      <c r="A25" s="286" t="s">
        <v>271</v>
      </c>
      <c r="B25" s="286"/>
      <c r="C25" s="286"/>
      <c r="D25" s="286"/>
      <c r="E25" s="286"/>
      <c r="F25" s="286"/>
      <c r="G25" s="286"/>
      <c r="H25" s="286"/>
      <c r="I25" s="286"/>
    </row>
    <row r="26" spans="1:9" ht="18" customHeight="1">
      <c r="A26" s="24"/>
      <c r="B26" s="23"/>
      <c r="C26" s="23"/>
      <c r="D26" s="23"/>
      <c r="E26" s="23"/>
      <c r="F26" s="23"/>
      <c r="G26" s="23"/>
      <c r="H26" s="23"/>
      <c r="I26" s="23"/>
    </row>
    <row r="27" spans="1:9" ht="18">
      <c r="A27" s="286" t="s">
        <v>272</v>
      </c>
      <c r="B27" s="286"/>
      <c r="C27" s="286"/>
      <c r="D27" s="286"/>
      <c r="E27" s="286"/>
      <c r="F27" s="286"/>
      <c r="G27" s="286"/>
      <c r="H27" s="286"/>
      <c r="I27" s="286"/>
    </row>
    <row r="28" spans="1:9" ht="18" customHeight="1">
      <c r="A28" s="24"/>
      <c r="B28" s="23"/>
      <c r="C28" s="23"/>
      <c r="D28" s="23"/>
      <c r="E28" s="23"/>
      <c r="F28" s="23"/>
      <c r="G28" s="23"/>
      <c r="H28" s="23"/>
      <c r="I28" s="23"/>
    </row>
    <row r="29" spans="1:9" ht="18">
      <c r="A29" s="286" t="s">
        <v>273</v>
      </c>
      <c r="B29" s="286"/>
      <c r="C29" s="286"/>
      <c r="D29" s="286"/>
      <c r="E29" s="286"/>
      <c r="F29" s="286"/>
      <c r="G29" s="286"/>
      <c r="H29" s="286"/>
      <c r="I29" s="286"/>
    </row>
    <row r="30" spans="1:9" ht="18" customHeight="1">
      <c r="A30" s="24"/>
      <c r="B30" s="23"/>
      <c r="C30" s="23"/>
      <c r="D30" s="23"/>
      <c r="E30" s="23"/>
      <c r="F30" s="23"/>
      <c r="G30" s="23"/>
      <c r="H30" s="23"/>
      <c r="I30" s="23"/>
    </row>
    <row r="31" spans="1:9" ht="18">
      <c r="A31" s="286" t="s">
        <v>263</v>
      </c>
      <c r="B31" s="286"/>
      <c r="C31" s="286"/>
      <c r="D31" s="286"/>
      <c r="E31" s="286"/>
      <c r="F31" s="286"/>
      <c r="G31" s="286"/>
      <c r="H31" s="286"/>
      <c r="I31" s="286"/>
    </row>
    <row r="32" spans="1:9" ht="18" customHeight="1">
      <c r="A32" s="24"/>
      <c r="B32" s="23"/>
      <c r="C32" s="23"/>
      <c r="D32" s="23"/>
      <c r="E32" s="23"/>
      <c r="F32" s="23"/>
      <c r="G32" s="23"/>
      <c r="H32" s="23"/>
      <c r="I32" s="23"/>
    </row>
    <row r="33" spans="1:9" ht="18">
      <c r="A33" s="286" t="s">
        <v>274</v>
      </c>
      <c r="B33" s="286"/>
      <c r="C33" s="286"/>
      <c r="D33" s="286"/>
      <c r="E33" s="286"/>
      <c r="F33" s="286"/>
      <c r="G33" s="286"/>
      <c r="H33" s="286"/>
      <c r="I33" s="286"/>
    </row>
    <row r="34" spans="1:9" ht="18" customHeight="1">
      <c r="A34" s="24"/>
      <c r="B34" s="23"/>
      <c r="C34" s="23"/>
      <c r="D34" s="23"/>
      <c r="E34" s="23"/>
      <c r="F34" s="23"/>
      <c r="G34" s="23"/>
      <c r="H34" s="23"/>
      <c r="I34" s="23"/>
    </row>
    <row r="35" spans="1:9" ht="18">
      <c r="A35" s="286" t="s">
        <v>264</v>
      </c>
      <c r="B35" s="286"/>
      <c r="C35" s="286"/>
      <c r="D35" s="286"/>
      <c r="E35" s="286"/>
      <c r="F35" s="286"/>
      <c r="G35" s="286"/>
      <c r="H35" s="286"/>
      <c r="I35" s="286"/>
    </row>
  </sheetData>
  <sheetProtection algorithmName="SHA-512" hashValue="oM1oqP6yKgfeD2iY5DyACIaDIQkp+QZcHUr/GnbQrWeJ4F48LArkDV20zgS9Gqcta0JFtSh8LcUh6LRDmX0Qew==" saltValue="LJB7h7p1bFC4HbdXHhnFHA==" spinCount="100000" sheet="1" objects="1" scenarios="1"/>
  <mergeCells count="18">
    <mergeCell ref="A33:I33"/>
    <mergeCell ref="A35:I35"/>
    <mergeCell ref="A25:I25"/>
    <mergeCell ref="A27:I27"/>
    <mergeCell ref="A29:I29"/>
    <mergeCell ref="A31:I31"/>
    <mergeCell ref="A21:I21"/>
    <mergeCell ref="A23:I23"/>
    <mergeCell ref="A9:I9"/>
    <mergeCell ref="A11:I11"/>
    <mergeCell ref="A13:I13"/>
    <mergeCell ref="A15:I15"/>
    <mergeCell ref="A1:I1"/>
    <mergeCell ref="A5:I5"/>
    <mergeCell ref="A7:I7"/>
    <mergeCell ref="A17:I17"/>
    <mergeCell ref="A19:I19"/>
    <mergeCell ref="A3:I3"/>
  </mergeCells>
  <phoneticPr fontId="4" type="noConversion"/>
  <hyperlinks>
    <hyperlink ref="A5" location="Information" display="1. Informations de base du projet" xr:uid="{00000000-0004-0000-0200-000000000000}"/>
    <hyperlink ref="A7" location="Resume" display="2. Résumé du projet" xr:uid="{00000000-0004-0000-0200-000001000000}"/>
    <hyperlink ref="A9" location="Portrait" display="3. Portrait de l'entreprise" xr:uid="{00000000-0004-0000-0200-000002000000}"/>
    <hyperlink ref="A11" location="Produits" display="4. Produits / prestations" xr:uid="{00000000-0004-0000-0200-000003000000}"/>
    <hyperlink ref="A13" location="Cibles" display="5. Cibles de clientèle" xr:uid="{00000000-0004-0000-0200-000004000000}"/>
    <hyperlink ref="A15" location="Marche" display="6. Marché / concurrence" xr:uid="{00000000-0004-0000-0200-000005000000}"/>
    <hyperlink ref="A17" location="BilanI" display="7. Bilan initial" xr:uid="{00000000-0004-0000-0200-000006000000}"/>
    <hyperlink ref="A19" location="Immobbilisations" display="8. Inventaire des immobilisations" xr:uid="{00000000-0004-0000-0200-000007000000}"/>
    <hyperlink ref="A21" location="Investissements" display="9. Plan des investissements" xr:uid="{00000000-0004-0000-0200-000008000000}"/>
    <hyperlink ref="A23" location="Annexe1" display="Annexe 1: Compte d'exploitation base 12 mois" xr:uid="{00000000-0004-0000-0200-000009000000}"/>
    <hyperlink ref="A25" location="Annexe2" display="Annexe 2: Plan de financement" xr:uid="{00000000-0004-0000-0200-00000A000000}"/>
    <hyperlink ref="A27" location="Annexe3" display="Annexe 3: Détail des charges d'exploitation" xr:uid="{00000000-0004-0000-0200-00000B000000}"/>
    <hyperlink ref="A29" location="Exploitation" display="10. Compte d'exploitation de la période" xr:uid="{00000000-0004-0000-0200-00000C000000}"/>
    <hyperlink ref="A31" location="Liquidites" display="11. Plan des liquidités prévisionnelles" xr:uid="{00000000-0004-0000-0200-00000D000000}"/>
    <hyperlink ref="A33" location="BilanF" display="12. Bilan final " xr:uid="{00000000-0004-0000-0200-00000E000000}"/>
    <hyperlink ref="A35" location="Ratios" display="13. Ratios et analyse du projet" xr:uid="{00000000-0004-0000-0200-00000F000000}"/>
    <hyperlink ref="A3" location="Information" display="1. Informations de base du projet" xr:uid="{00000000-0004-0000-0200-000010000000}"/>
    <hyperlink ref="A3:I3" location="'Business Model'!A1" display="0. Business Model Canvas" xr:uid="{00000000-0004-0000-0200-000011000000}"/>
  </hyperlinks>
  <pageMargins left="0.78740157480314965" right="0.78740157480314965" top="0.98425196850393704" bottom="0.78740157480314965" header="0.51181102362204722" footer="0.39370078740157483"/>
  <pageSetup paperSize="9" orientation="portrait" r:id="rId1"/>
  <headerFooter scaleWithDoc="0">
    <oddFooter>&amp;R1</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69"/>
  <sheetViews>
    <sheetView zoomScale="60" zoomScaleNormal="60" zoomScalePageLayoutView="60" workbookViewId="0">
      <selection activeCell="Q1" sqref="Q1:T4"/>
    </sheetView>
  </sheetViews>
  <sheetFormatPr baseColWidth="10" defaultColWidth="10.88671875" defaultRowHeight="15.6"/>
  <cols>
    <col min="1" max="20" width="11.6640625" style="25" customWidth="1"/>
    <col min="21" max="21" width="10.88671875" style="28" customWidth="1"/>
    <col min="22" max="16384" width="10.88671875" style="25"/>
  </cols>
  <sheetData>
    <row r="1" spans="1:20" s="25" customFormat="1" ht="15" customHeight="1">
      <c r="A1" s="26"/>
      <c r="B1" s="26"/>
      <c r="C1" s="26"/>
      <c r="D1" s="26"/>
      <c r="E1" s="26"/>
      <c r="F1" s="26"/>
      <c r="G1" s="26"/>
      <c r="H1" s="26"/>
      <c r="I1" s="307" t="str">
        <f>Accueil!A16</f>
        <v>RCC - Robert Cabinet Conseil</v>
      </c>
      <c r="J1" s="307"/>
      <c r="K1" s="307"/>
      <c r="L1" s="307"/>
      <c r="M1" s="307"/>
      <c r="N1" s="307"/>
      <c r="O1" s="307"/>
      <c r="P1" s="26"/>
      <c r="Q1" s="308">
        <f>Accueil!C49</f>
        <v>44797</v>
      </c>
      <c r="R1" s="308"/>
      <c r="S1" s="308"/>
      <c r="T1" s="308"/>
    </row>
    <row r="2" spans="1:20" s="25" customFormat="1" ht="15" customHeight="1">
      <c r="A2" s="309" t="s">
        <v>350</v>
      </c>
      <c r="B2" s="309"/>
      <c r="C2" s="309"/>
      <c r="D2" s="309"/>
      <c r="E2" s="309"/>
      <c r="F2" s="309"/>
      <c r="G2" s="309"/>
      <c r="H2" s="26"/>
      <c r="I2" s="307"/>
      <c r="J2" s="307"/>
      <c r="K2" s="307"/>
      <c r="L2" s="307"/>
      <c r="M2" s="307"/>
      <c r="N2" s="307"/>
      <c r="O2" s="307"/>
      <c r="P2" s="27"/>
      <c r="Q2" s="308"/>
      <c r="R2" s="308"/>
      <c r="S2" s="308"/>
      <c r="T2" s="308"/>
    </row>
    <row r="3" spans="1:20" s="25" customFormat="1" ht="15" customHeight="1">
      <c r="A3" s="309"/>
      <c r="B3" s="309"/>
      <c r="C3" s="309"/>
      <c r="D3" s="309"/>
      <c r="E3" s="309"/>
      <c r="F3" s="309"/>
      <c r="G3" s="309"/>
      <c r="H3" s="26"/>
      <c r="I3" s="307"/>
      <c r="J3" s="307"/>
      <c r="K3" s="307"/>
      <c r="L3" s="307"/>
      <c r="M3" s="307"/>
      <c r="N3" s="307"/>
      <c r="O3" s="307"/>
      <c r="P3" s="26"/>
      <c r="Q3" s="308"/>
      <c r="R3" s="308"/>
      <c r="S3" s="308"/>
      <c r="T3" s="308"/>
    </row>
    <row r="4" spans="1:20" s="25" customFormat="1" ht="15" customHeight="1">
      <c r="A4" s="309"/>
      <c r="B4" s="309"/>
      <c r="C4" s="309"/>
      <c r="D4" s="309"/>
      <c r="E4" s="309"/>
      <c r="F4" s="309"/>
      <c r="G4" s="309"/>
      <c r="H4" s="26"/>
      <c r="I4" s="307"/>
      <c r="J4" s="307"/>
      <c r="K4" s="307"/>
      <c r="L4" s="307"/>
      <c r="M4" s="307"/>
      <c r="N4" s="307"/>
      <c r="O4" s="307"/>
      <c r="P4" s="26"/>
      <c r="Q4" s="308"/>
      <c r="R4" s="308"/>
      <c r="S4" s="308"/>
      <c r="T4" s="308"/>
    </row>
    <row r="7" spans="1:20" s="25" customFormat="1" ht="15" customHeight="1">
      <c r="A7" s="299" t="s">
        <v>334</v>
      </c>
      <c r="B7" s="300"/>
      <c r="C7" s="300"/>
      <c r="D7" s="300"/>
      <c r="E7" s="310" t="s">
        <v>335</v>
      </c>
      <c r="F7" s="311"/>
      <c r="G7" s="311"/>
      <c r="H7" s="311"/>
      <c r="I7" s="314" t="s">
        <v>348</v>
      </c>
      <c r="J7" s="315"/>
      <c r="K7" s="315"/>
      <c r="L7" s="316"/>
      <c r="M7" s="310" t="s">
        <v>336</v>
      </c>
      <c r="N7" s="311"/>
      <c r="O7" s="311"/>
      <c r="P7" s="311"/>
      <c r="Q7" s="314" t="s">
        <v>349</v>
      </c>
      <c r="R7" s="315"/>
      <c r="S7" s="315"/>
      <c r="T7" s="316"/>
    </row>
    <row r="8" spans="1:20" s="25" customFormat="1" ht="15" customHeight="1">
      <c r="A8" s="301"/>
      <c r="B8" s="302"/>
      <c r="C8" s="302"/>
      <c r="D8" s="302"/>
      <c r="E8" s="312"/>
      <c r="F8" s="313"/>
      <c r="G8" s="313"/>
      <c r="H8" s="313"/>
      <c r="I8" s="317"/>
      <c r="J8" s="318"/>
      <c r="K8" s="318"/>
      <c r="L8" s="319"/>
      <c r="M8" s="312"/>
      <c r="N8" s="313"/>
      <c r="O8" s="313"/>
      <c r="P8" s="313"/>
      <c r="Q8" s="317"/>
      <c r="R8" s="318"/>
      <c r="S8" s="318"/>
      <c r="T8" s="319"/>
    </row>
    <row r="9" spans="1:20" s="25" customFormat="1" ht="15" customHeight="1">
      <c r="A9" s="288"/>
      <c r="B9" s="289"/>
      <c r="C9" s="289"/>
      <c r="D9" s="290"/>
      <c r="E9" s="288"/>
      <c r="F9" s="289"/>
      <c r="G9" s="289"/>
      <c r="H9" s="290"/>
      <c r="I9" s="317"/>
      <c r="J9" s="318"/>
      <c r="K9" s="318"/>
      <c r="L9" s="319"/>
      <c r="M9" s="288"/>
      <c r="N9" s="289"/>
      <c r="O9" s="289"/>
      <c r="P9" s="290"/>
      <c r="Q9" s="317"/>
      <c r="R9" s="318"/>
      <c r="S9" s="318"/>
      <c r="T9" s="319"/>
    </row>
    <row r="10" spans="1:20" s="25" customFormat="1" ht="15" customHeight="1">
      <c r="A10" s="288"/>
      <c r="B10" s="289"/>
      <c r="C10" s="289"/>
      <c r="D10" s="290"/>
      <c r="E10" s="288"/>
      <c r="F10" s="289"/>
      <c r="G10" s="289"/>
      <c r="H10" s="290"/>
      <c r="I10" s="317"/>
      <c r="J10" s="318"/>
      <c r="K10" s="318"/>
      <c r="L10" s="319"/>
      <c r="M10" s="288"/>
      <c r="N10" s="289"/>
      <c r="O10" s="289"/>
      <c r="P10" s="290"/>
      <c r="Q10" s="317"/>
      <c r="R10" s="318"/>
      <c r="S10" s="318"/>
      <c r="T10" s="319"/>
    </row>
    <row r="11" spans="1:20" s="25" customFormat="1" ht="15" customHeight="1">
      <c r="A11" s="288"/>
      <c r="B11" s="289"/>
      <c r="C11" s="289"/>
      <c r="D11" s="290"/>
      <c r="E11" s="288"/>
      <c r="F11" s="289"/>
      <c r="G11" s="289"/>
      <c r="H11" s="290"/>
      <c r="I11" s="288"/>
      <c r="J11" s="289"/>
      <c r="K11" s="289"/>
      <c r="L11" s="290"/>
      <c r="M11" s="288"/>
      <c r="N11" s="289"/>
      <c r="O11" s="289"/>
      <c r="P11" s="290"/>
      <c r="Q11" s="288"/>
      <c r="R11" s="289"/>
      <c r="S11" s="289"/>
      <c r="T11" s="290"/>
    </row>
    <row r="12" spans="1:20" s="25" customFormat="1" ht="15" customHeight="1">
      <c r="A12" s="288"/>
      <c r="B12" s="289"/>
      <c r="C12" s="289"/>
      <c r="D12" s="290"/>
      <c r="E12" s="288"/>
      <c r="F12" s="289"/>
      <c r="G12" s="289"/>
      <c r="H12" s="290"/>
      <c r="I12" s="288"/>
      <c r="J12" s="289"/>
      <c r="K12" s="289"/>
      <c r="L12" s="290"/>
      <c r="M12" s="288"/>
      <c r="N12" s="289"/>
      <c r="O12" s="289"/>
      <c r="P12" s="290"/>
      <c r="Q12" s="288"/>
      <c r="R12" s="289"/>
      <c r="S12" s="289"/>
      <c r="T12" s="290"/>
    </row>
    <row r="13" spans="1:20" s="25" customFormat="1" ht="15" customHeight="1">
      <c r="A13" s="288"/>
      <c r="B13" s="289"/>
      <c r="C13" s="289"/>
      <c r="D13" s="290"/>
      <c r="E13" s="288"/>
      <c r="F13" s="289"/>
      <c r="G13" s="289"/>
      <c r="H13" s="290"/>
      <c r="I13" s="288"/>
      <c r="J13" s="289"/>
      <c r="K13" s="289"/>
      <c r="L13" s="290"/>
      <c r="M13" s="288"/>
      <c r="N13" s="289"/>
      <c r="O13" s="289"/>
      <c r="P13" s="290"/>
      <c r="Q13" s="288"/>
      <c r="R13" s="289"/>
      <c r="S13" s="289"/>
      <c r="T13" s="290"/>
    </row>
    <row r="14" spans="1:20" s="25" customFormat="1" ht="15" customHeight="1">
      <c r="A14" s="288"/>
      <c r="B14" s="289"/>
      <c r="C14" s="289"/>
      <c r="D14" s="290"/>
      <c r="E14" s="288"/>
      <c r="F14" s="289"/>
      <c r="G14" s="289"/>
      <c r="H14" s="290"/>
      <c r="I14" s="288"/>
      <c r="J14" s="289"/>
      <c r="K14" s="289"/>
      <c r="L14" s="290"/>
      <c r="M14" s="288"/>
      <c r="N14" s="289"/>
      <c r="O14" s="289"/>
      <c r="P14" s="290"/>
      <c r="Q14" s="288"/>
      <c r="R14" s="289"/>
      <c r="S14" s="289"/>
      <c r="T14" s="290"/>
    </row>
    <row r="15" spans="1:20" s="25" customFormat="1" ht="15" customHeight="1">
      <c r="A15" s="288"/>
      <c r="B15" s="289"/>
      <c r="C15" s="289"/>
      <c r="D15" s="290"/>
      <c r="E15" s="288"/>
      <c r="F15" s="289"/>
      <c r="G15" s="289"/>
      <c r="H15" s="290"/>
      <c r="I15" s="288"/>
      <c r="J15" s="289"/>
      <c r="K15" s="289"/>
      <c r="L15" s="290"/>
      <c r="M15" s="288"/>
      <c r="N15" s="289"/>
      <c r="O15" s="289"/>
      <c r="P15" s="290"/>
      <c r="Q15" s="288"/>
      <c r="R15" s="289"/>
      <c r="S15" s="289"/>
      <c r="T15" s="290"/>
    </row>
    <row r="16" spans="1:20" s="25" customFormat="1" ht="15" customHeight="1">
      <c r="A16" s="288"/>
      <c r="B16" s="289"/>
      <c r="C16" s="289"/>
      <c r="D16" s="290"/>
      <c r="E16" s="288"/>
      <c r="F16" s="289"/>
      <c r="G16" s="289"/>
      <c r="H16" s="290"/>
      <c r="I16" s="288"/>
      <c r="J16" s="289"/>
      <c r="K16" s="289"/>
      <c r="L16" s="290"/>
      <c r="M16" s="288"/>
      <c r="N16" s="289"/>
      <c r="O16" s="289"/>
      <c r="P16" s="290"/>
      <c r="Q16" s="288"/>
      <c r="R16" s="289"/>
      <c r="S16" s="289"/>
      <c r="T16" s="290"/>
    </row>
    <row r="17" spans="1:20" s="25" customFormat="1" ht="15" customHeight="1">
      <c r="A17" s="288"/>
      <c r="B17" s="289"/>
      <c r="C17" s="289"/>
      <c r="D17" s="290"/>
      <c r="E17" s="288"/>
      <c r="F17" s="289"/>
      <c r="G17" s="289"/>
      <c r="H17" s="290"/>
      <c r="I17" s="288"/>
      <c r="J17" s="289"/>
      <c r="K17" s="289"/>
      <c r="L17" s="290"/>
      <c r="M17" s="288"/>
      <c r="N17" s="289"/>
      <c r="O17" s="289"/>
      <c r="P17" s="290"/>
      <c r="Q17" s="288"/>
      <c r="R17" s="289"/>
      <c r="S17" s="289"/>
      <c r="T17" s="290"/>
    </row>
    <row r="18" spans="1:20" s="25" customFormat="1" ht="15" customHeight="1">
      <c r="A18" s="288"/>
      <c r="B18" s="289"/>
      <c r="C18" s="289"/>
      <c r="D18" s="290"/>
      <c r="E18" s="288"/>
      <c r="F18" s="289"/>
      <c r="G18" s="289"/>
      <c r="H18" s="290"/>
      <c r="I18" s="288"/>
      <c r="J18" s="289"/>
      <c r="K18" s="289"/>
      <c r="L18" s="290"/>
      <c r="M18" s="288"/>
      <c r="N18" s="289"/>
      <c r="O18" s="289"/>
      <c r="P18" s="290"/>
      <c r="Q18" s="288"/>
      <c r="R18" s="289"/>
      <c r="S18" s="289"/>
      <c r="T18" s="290"/>
    </row>
    <row r="19" spans="1:20" s="25" customFormat="1" ht="15" customHeight="1">
      <c r="A19" s="288"/>
      <c r="B19" s="289"/>
      <c r="C19" s="289"/>
      <c r="D19" s="290"/>
      <c r="E19" s="288"/>
      <c r="F19" s="289"/>
      <c r="G19" s="289"/>
      <c r="H19" s="290"/>
      <c r="I19" s="288"/>
      <c r="J19" s="289"/>
      <c r="K19" s="289"/>
      <c r="L19" s="290"/>
      <c r="M19" s="288"/>
      <c r="N19" s="289"/>
      <c r="O19" s="289"/>
      <c r="P19" s="290"/>
      <c r="Q19" s="288"/>
      <c r="R19" s="289"/>
      <c r="S19" s="289"/>
      <c r="T19" s="290"/>
    </row>
    <row r="20" spans="1:20" s="25" customFormat="1" ht="15" customHeight="1">
      <c r="A20" s="288"/>
      <c r="B20" s="289"/>
      <c r="C20" s="289"/>
      <c r="D20" s="290"/>
      <c r="E20" s="288"/>
      <c r="F20" s="289"/>
      <c r="G20" s="289"/>
      <c r="H20" s="290"/>
      <c r="I20" s="288"/>
      <c r="J20" s="289"/>
      <c r="K20" s="289"/>
      <c r="L20" s="290"/>
      <c r="M20" s="288"/>
      <c r="N20" s="289"/>
      <c r="O20" s="289"/>
      <c r="P20" s="290"/>
      <c r="Q20" s="288"/>
      <c r="R20" s="289"/>
      <c r="S20" s="289"/>
      <c r="T20" s="290"/>
    </row>
    <row r="21" spans="1:20" s="25" customFormat="1" ht="15" customHeight="1">
      <c r="A21" s="288"/>
      <c r="B21" s="289"/>
      <c r="C21" s="289"/>
      <c r="D21" s="290"/>
      <c r="E21" s="288"/>
      <c r="F21" s="289"/>
      <c r="G21" s="289"/>
      <c r="H21" s="290"/>
      <c r="I21" s="288"/>
      <c r="J21" s="289"/>
      <c r="K21" s="289"/>
      <c r="L21" s="290"/>
      <c r="M21" s="288"/>
      <c r="N21" s="289"/>
      <c r="O21" s="289"/>
      <c r="P21" s="290"/>
      <c r="Q21" s="288"/>
      <c r="R21" s="289"/>
      <c r="S21" s="289"/>
      <c r="T21" s="290"/>
    </row>
    <row r="22" spans="1:20" s="25" customFormat="1" ht="15" customHeight="1">
      <c r="A22" s="288"/>
      <c r="B22" s="289"/>
      <c r="C22" s="289"/>
      <c r="D22" s="290"/>
      <c r="E22" s="288"/>
      <c r="F22" s="289"/>
      <c r="G22" s="289"/>
      <c r="H22" s="290"/>
      <c r="I22" s="288"/>
      <c r="J22" s="289"/>
      <c r="K22" s="289"/>
      <c r="L22" s="290"/>
      <c r="M22" s="288"/>
      <c r="N22" s="289"/>
      <c r="O22" s="289"/>
      <c r="P22" s="290"/>
      <c r="Q22" s="288"/>
      <c r="R22" s="289"/>
      <c r="S22" s="289"/>
      <c r="T22" s="290"/>
    </row>
    <row r="23" spans="1:20" s="25" customFormat="1" ht="15" customHeight="1">
      <c r="A23" s="288"/>
      <c r="B23" s="289"/>
      <c r="C23" s="289"/>
      <c r="D23" s="290"/>
      <c r="E23" s="288"/>
      <c r="F23" s="289"/>
      <c r="G23" s="289"/>
      <c r="H23" s="290"/>
      <c r="I23" s="288"/>
      <c r="J23" s="289"/>
      <c r="K23" s="289"/>
      <c r="L23" s="290"/>
      <c r="M23" s="288"/>
      <c r="N23" s="289"/>
      <c r="O23" s="289"/>
      <c r="P23" s="290"/>
      <c r="Q23" s="288"/>
      <c r="R23" s="289"/>
      <c r="S23" s="289"/>
      <c r="T23" s="290"/>
    </row>
    <row r="24" spans="1:20" s="25" customFormat="1" ht="15" customHeight="1">
      <c r="A24" s="288"/>
      <c r="B24" s="289"/>
      <c r="C24" s="289"/>
      <c r="D24" s="290"/>
      <c r="E24" s="288"/>
      <c r="F24" s="289"/>
      <c r="G24" s="289"/>
      <c r="H24" s="290"/>
      <c r="I24" s="288"/>
      <c r="J24" s="289"/>
      <c r="K24" s="289"/>
      <c r="L24" s="290"/>
      <c r="M24" s="288"/>
      <c r="N24" s="289"/>
      <c r="O24" s="289"/>
      <c r="P24" s="290"/>
      <c r="Q24" s="288"/>
      <c r="R24" s="289"/>
      <c r="S24" s="289"/>
      <c r="T24" s="290"/>
    </row>
    <row r="25" spans="1:20" s="25" customFormat="1" ht="15" customHeight="1">
      <c r="A25" s="288"/>
      <c r="B25" s="289"/>
      <c r="C25" s="289"/>
      <c r="D25" s="290"/>
      <c r="E25" s="288"/>
      <c r="F25" s="289"/>
      <c r="G25" s="289"/>
      <c r="H25" s="290"/>
      <c r="I25" s="288"/>
      <c r="J25" s="289"/>
      <c r="K25" s="289"/>
      <c r="L25" s="290"/>
      <c r="M25" s="288"/>
      <c r="N25" s="289"/>
      <c r="O25" s="289"/>
      <c r="P25" s="290"/>
      <c r="Q25" s="288"/>
      <c r="R25" s="289"/>
      <c r="S25" s="289"/>
      <c r="T25" s="290"/>
    </row>
    <row r="26" spans="1:20" s="25" customFormat="1" ht="15" customHeight="1">
      <c r="A26" s="288"/>
      <c r="B26" s="291"/>
      <c r="C26" s="291"/>
      <c r="D26" s="290"/>
      <c r="E26" s="288"/>
      <c r="F26" s="289"/>
      <c r="G26" s="289"/>
      <c r="H26" s="290"/>
      <c r="I26" s="288"/>
      <c r="J26" s="289"/>
      <c r="K26" s="289"/>
      <c r="L26" s="290"/>
      <c r="M26" s="288"/>
      <c r="N26" s="289"/>
      <c r="O26" s="289"/>
      <c r="P26" s="290"/>
      <c r="Q26" s="288"/>
      <c r="R26" s="291"/>
      <c r="S26" s="291"/>
      <c r="T26" s="290"/>
    </row>
    <row r="27" spans="1:20" s="25" customFormat="1" ht="15" customHeight="1">
      <c r="A27" s="304"/>
      <c r="B27" s="305"/>
      <c r="C27" s="305"/>
      <c r="D27" s="306"/>
      <c r="E27" s="299" t="s">
        <v>337</v>
      </c>
      <c r="F27" s="300"/>
      <c r="G27" s="300"/>
      <c r="H27" s="300"/>
      <c r="I27" s="304"/>
      <c r="J27" s="305"/>
      <c r="K27" s="305"/>
      <c r="L27" s="306"/>
      <c r="M27" s="299" t="s">
        <v>338</v>
      </c>
      <c r="N27" s="300"/>
      <c r="O27" s="300"/>
      <c r="P27" s="300"/>
      <c r="Q27" s="304"/>
      <c r="R27" s="305"/>
      <c r="S27" s="305"/>
      <c r="T27" s="306"/>
    </row>
    <row r="28" spans="1:20" s="25" customFormat="1" ht="15" customHeight="1">
      <c r="A28" s="304"/>
      <c r="B28" s="305"/>
      <c r="C28" s="305"/>
      <c r="D28" s="306"/>
      <c r="E28" s="301"/>
      <c r="F28" s="302"/>
      <c r="G28" s="302"/>
      <c r="H28" s="302"/>
      <c r="I28" s="304"/>
      <c r="J28" s="305"/>
      <c r="K28" s="305"/>
      <c r="L28" s="306"/>
      <c r="M28" s="301"/>
      <c r="N28" s="302"/>
      <c r="O28" s="302"/>
      <c r="P28" s="302"/>
      <c r="Q28" s="304"/>
      <c r="R28" s="305"/>
      <c r="S28" s="305"/>
      <c r="T28" s="306"/>
    </row>
    <row r="29" spans="1:20" s="25" customFormat="1" ht="15" customHeight="1">
      <c r="A29" s="288"/>
      <c r="B29" s="289"/>
      <c r="C29" s="289"/>
      <c r="D29" s="290"/>
      <c r="E29" s="288"/>
      <c r="F29" s="289"/>
      <c r="G29" s="289"/>
      <c r="H29" s="290"/>
      <c r="I29" s="288"/>
      <c r="J29" s="289"/>
      <c r="K29" s="289"/>
      <c r="L29" s="290"/>
      <c r="M29" s="288"/>
      <c r="N29" s="289"/>
      <c r="O29" s="289"/>
      <c r="P29" s="290"/>
      <c r="Q29" s="288"/>
      <c r="R29" s="289"/>
      <c r="S29" s="289"/>
      <c r="T29" s="290"/>
    </row>
    <row r="30" spans="1:20" s="25" customFormat="1" ht="15" customHeight="1">
      <c r="A30" s="288"/>
      <c r="B30" s="289"/>
      <c r="C30" s="289"/>
      <c r="D30" s="290"/>
      <c r="E30" s="288"/>
      <c r="F30" s="289"/>
      <c r="G30" s="289"/>
      <c r="H30" s="290"/>
      <c r="I30" s="288"/>
      <c r="J30" s="289"/>
      <c r="K30" s="289"/>
      <c r="L30" s="290"/>
      <c r="M30" s="288"/>
      <c r="N30" s="289"/>
      <c r="O30" s="289"/>
      <c r="P30" s="290"/>
      <c r="Q30" s="288"/>
      <c r="R30" s="289"/>
      <c r="S30" s="289"/>
      <c r="T30" s="290"/>
    </row>
    <row r="31" spans="1:20" s="25" customFormat="1" ht="15" customHeight="1">
      <c r="A31" s="288"/>
      <c r="B31" s="289"/>
      <c r="C31" s="289"/>
      <c r="D31" s="290"/>
      <c r="E31" s="288"/>
      <c r="F31" s="289"/>
      <c r="G31" s="289"/>
      <c r="H31" s="290"/>
      <c r="I31" s="288"/>
      <c r="J31" s="289"/>
      <c r="K31" s="289"/>
      <c r="L31" s="290"/>
      <c r="M31" s="288"/>
      <c r="N31" s="289"/>
      <c r="O31" s="289"/>
      <c r="P31" s="290"/>
      <c r="Q31" s="288"/>
      <c r="R31" s="289"/>
      <c r="S31" s="289"/>
      <c r="T31" s="290"/>
    </row>
    <row r="32" spans="1:20" s="25" customFormat="1" ht="15" customHeight="1">
      <c r="A32" s="288"/>
      <c r="B32" s="289"/>
      <c r="C32" s="289"/>
      <c r="D32" s="290"/>
      <c r="E32" s="288"/>
      <c r="F32" s="289"/>
      <c r="G32" s="289"/>
      <c r="H32" s="290"/>
      <c r="I32" s="288"/>
      <c r="J32" s="289"/>
      <c r="K32" s="289"/>
      <c r="L32" s="290"/>
      <c r="M32" s="288"/>
      <c r="N32" s="289"/>
      <c r="O32" s="289"/>
      <c r="P32" s="290"/>
      <c r="Q32" s="288"/>
      <c r="R32" s="289"/>
      <c r="S32" s="289"/>
      <c r="T32" s="290"/>
    </row>
    <row r="33" spans="1:20" s="25" customFormat="1" ht="15" customHeight="1">
      <c r="A33" s="288"/>
      <c r="B33" s="289"/>
      <c r="C33" s="289"/>
      <c r="D33" s="290"/>
      <c r="E33" s="288"/>
      <c r="F33" s="289"/>
      <c r="G33" s="289"/>
      <c r="H33" s="290"/>
      <c r="I33" s="288"/>
      <c r="J33" s="289"/>
      <c r="K33" s="289"/>
      <c r="L33" s="290"/>
      <c r="M33" s="288"/>
      <c r="N33" s="289"/>
      <c r="O33" s="289"/>
      <c r="P33" s="290"/>
      <c r="Q33" s="288"/>
      <c r="R33" s="289"/>
      <c r="S33" s="289"/>
      <c r="T33" s="290"/>
    </row>
    <row r="34" spans="1:20" s="25" customFormat="1" ht="15" customHeight="1">
      <c r="A34" s="288"/>
      <c r="B34" s="291"/>
      <c r="C34" s="291"/>
      <c r="D34" s="290"/>
      <c r="E34" s="288"/>
      <c r="F34" s="289"/>
      <c r="G34" s="289"/>
      <c r="H34" s="290"/>
      <c r="I34" s="288"/>
      <c r="J34" s="289"/>
      <c r="K34" s="289"/>
      <c r="L34" s="290"/>
      <c r="M34" s="288"/>
      <c r="N34" s="289"/>
      <c r="O34" s="289"/>
      <c r="P34" s="290"/>
      <c r="Q34" s="288"/>
      <c r="R34" s="289"/>
      <c r="S34" s="289"/>
      <c r="T34" s="290"/>
    </row>
    <row r="35" spans="1:20" s="25" customFormat="1" ht="15" customHeight="1">
      <c r="A35" s="288"/>
      <c r="B35" s="291"/>
      <c r="C35" s="291"/>
      <c r="D35" s="290"/>
      <c r="E35" s="288"/>
      <c r="F35" s="289"/>
      <c r="G35" s="289"/>
      <c r="H35" s="290"/>
      <c r="I35" s="288"/>
      <c r="J35" s="289"/>
      <c r="K35" s="289"/>
      <c r="L35" s="290"/>
      <c r="M35" s="288"/>
      <c r="N35" s="289"/>
      <c r="O35" s="289"/>
      <c r="P35" s="290"/>
      <c r="Q35" s="288"/>
      <c r="R35" s="289"/>
      <c r="S35" s="289"/>
      <c r="T35" s="290"/>
    </row>
    <row r="36" spans="1:20" s="25" customFormat="1" ht="15" customHeight="1">
      <c r="A36" s="288"/>
      <c r="B36" s="291"/>
      <c r="C36" s="291"/>
      <c r="D36" s="290"/>
      <c r="E36" s="288"/>
      <c r="F36" s="289"/>
      <c r="G36" s="289"/>
      <c r="H36" s="290"/>
      <c r="I36" s="288"/>
      <c r="J36" s="289"/>
      <c r="K36" s="289"/>
      <c r="L36" s="290"/>
      <c r="M36" s="288"/>
      <c r="N36" s="289"/>
      <c r="O36" s="289"/>
      <c r="P36" s="290"/>
      <c r="Q36" s="288"/>
      <c r="R36" s="289"/>
      <c r="S36" s="289"/>
      <c r="T36" s="290"/>
    </row>
    <row r="37" spans="1:20" s="25" customFormat="1" ht="15" customHeight="1">
      <c r="A37" s="288"/>
      <c r="B37" s="289"/>
      <c r="C37" s="289"/>
      <c r="D37" s="290"/>
      <c r="E37" s="288"/>
      <c r="F37" s="289"/>
      <c r="G37" s="289"/>
      <c r="H37" s="290"/>
      <c r="I37" s="288"/>
      <c r="J37" s="289"/>
      <c r="K37" s="289"/>
      <c r="L37" s="290"/>
      <c r="M37" s="288"/>
      <c r="N37" s="289"/>
      <c r="O37" s="289"/>
      <c r="P37" s="290"/>
      <c r="Q37" s="288"/>
      <c r="R37" s="289"/>
      <c r="S37" s="289"/>
      <c r="T37" s="290"/>
    </row>
    <row r="38" spans="1:20" s="25" customFormat="1" ht="15" customHeight="1">
      <c r="A38" s="288"/>
      <c r="B38" s="289"/>
      <c r="C38" s="289"/>
      <c r="D38" s="290"/>
      <c r="E38" s="288"/>
      <c r="F38" s="289"/>
      <c r="G38" s="289"/>
      <c r="H38" s="290"/>
      <c r="I38" s="288"/>
      <c r="J38" s="289"/>
      <c r="K38" s="289"/>
      <c r="L38" s="290"/>
      <c r="M38" s="288"/>
      <c r="N38" s="289"/>
      <c r="O38" s="289"/>
      <c r="P38" s="290"/>
      <c r="Q38" s="288"/>
      <c r="R38" s="289"/>
      <c r="S38" s="289"/>
      <c r="T38" s="290"/>
    </row>
    <row r="39" spans="1:20" s="25" customFormat="1" ht="15" customHeight="1">
      <c r="A39" s="288"/>
      <c r="B39" s="289"/>
      <c r="C39" s="289"/>
      <c r="D39" s="290"/>
      <c r="E39" s="288"/>
      <c r="F39" s="289"/>
      <c r="G39" s="289"/>
      <c r="H39" s="290"/>
      <c r="I39" s="288"/>
      <c r="J39" s="289"/>
      <c r="K39" s="289"/>
      <c r="L39" s="290"/>
      <c r="M39" s="288"/>
      <c r="N39" s="289"/>
      <c r="O39" s="289"/>
      <c r="P39" s="290"/>
      <c r="Q39" s="288"/>
      <c r="R39" s="289"/>
      <c r="S39" s="289"/>
      <c r="T39" s="290"/>
    </row>
    <row r="40" spans="1:20" s="25" customFormat="1" ht="15" customHeight="1">
      <c r="A40" s="288"/>
      <c r="B40" s="289"/>
      <c r="C40" s="289"/>
      <c r="D40" s="290"/>
      <c r="E40" s="288"/>
      <c r="F40" s="289"/>
      <c r="G40" s="289"/>
      <c r="H40" s="290"/>
      <c r="I40" s="288"/>
      <c r="J40" s="289"/>
      <c r="K40" s="289"/>
      <c r="L40" s="290"/>
      <c r="M40" s="288"/>
      <c r="N40" s="289"/>
      <c r="O40" s="289"/>
      <c r="P40" s="290"/>
      <c r="Q40" s="288"/>
      <c r="R40" s="289"/>
      <c r="S40" s="289"/>
      <c r="T40" s="290"/>
    </row>
    <row r="41" spans="1:20" s="25" customFormat="1" ht="15" customHeight="1">
      <c r="A41" s="288"/>
      <c r="B41" s="289"/>
      <c r="C41" s="289"/>
      <c r="D41" s="290"/>
      <c r="E41" s="288"/>
      <c r="F41" s="289"/>
      <c r="G41" s="289"/>
      <c r="H41" s="290"/>
      <c r="I41" s="288"/>
      <c r="J41" s="289"/>
      <c r="K41" s="289"/>
      <c r="L41" s="290"/>
      <c r="M41" s="288"/>
      <c r="N41" s="289"/>
      <c r="O41" s="289"/>
      <c r="P41" s="290"/>
      <c r="Q41" s="288"/>
      <c r="R41" s="289"/>
      <c r="S41" s="289"/>
      <c r="T41" s="290"/>
    </row>
    <row r="42" spans="1:20" s="25" customFormat="1" ht="15" customHeight="1">
      <c r="A42" s="288"/>
      <c r="B42" s="289"/>
      <c r="C42" s="289"/>
      <c r="D42" s="290"/>
      <c r="E42" s="288"/>
      <c r="F42" s="289"/>
      <c r="G42" s="289"/>
      <c r="H42" s="290"/>
      <c r="I42" s="288"/>
      <c r="J42" s="289"/>
      <c r="K42" s="289"/>
      <c r="L42" s="290"/>
      <c r="M42" s="288"/>
      <c r="N42" s="289"/>
      <c r="O42" s="289"/>
      <c r="P42" s="290"/>
      <c r="Q42" s="288"/>
      <c r="R42" s="289"/>
      <c r="S42" s="289"/>
      <c r="T42" s="290"/>
    </row>
    <row r="43" spans="1:20" s="25" customFormat="1" ht="15" customHeight="1">
      <c r="A43" s="288"/>
      <c r="B43" s="289"/>
      <c r="C43" s="289"/>
      <c r="D43" s="290"/>
      <c r="E43" s="288"/>
      <c r="F43" s="289"/>
      <c r="G43" s="289"/>
      <c r="H43" s="290"/>
      <c r="I43" s="288"/>
      <c r="J43" s="289"/>
      <c r="K43" s="289"/>
      <c r="L43" s="290"/>
      <c r="M43" s="288"/>
      <c r="N43" s="289"/>
      <c r="O43" s="289"/>
      <c r="P43" s="290"/>
      <c r="Q43" s="288"/>
      <c r="R43" s="289"/>
      <c r="S43" s="289"/>
      <c r="T43" s="290"/>
    </row>
    <row r="44" spans="1:20" s="25" customFormat="1" ht="15" customHeight="1">
      <c r="A44" s="288"/>
      <c r="B44" s="289"/>
      <c r="C44" s="289"/>
      <c r="D44" s="290"/>
      <c r="E44" s="288"/>
      <c r="F44" s="289"/>
      <c r="G44" s="289"/>
      <c r="H44" s="290"/>
      <c r="I44" s="288"/>
      <c r="J44" s="289"/>
      <c r="K44" s="289"/>
      <c r="L44" s="290"/>
      <c r="M44" s="288"/>
      <c r="N44" s="289"/>
      <c r="O44" s="289"/>
      <c r="P44" s="290"/>
      <c r="Q44" s="288"/>
      <c r="R44" s="289"/>
      <c r="S44" s="289"/>
      <c r="T44" s="290"/>
    </row>
    <row r="45" spans="1:20" s="25" customFormat="1" ht="15" customHeight="1">
      <c r="A45" s="288"/>
      <c r="B45" s="289"/>
      <c r="C45" s="289"/>
      <c r="D45" s="290"/>
      <c r="E45" s="288"/>
      <c r="F45" s="289"/>
      <c r="G45" s="289"/>
      <c r="H45" s="290"/>
      <c r="I45" s="288"/>
      <c r="J45" s="289"/>
      <c r="K45" s="289"/>
      <c r="L45" s="290"/>
      <c r="M45" s="288"/>
      <c r="N45" s="289"/>
      <c r="O45" s="289"/>
      <c r="P45" s="290"/>
      <c r="Q45" s="288"/>
      <c r="R45" s="289"/>
      <c r="S45" s="289"/>
      <c r="T45" s="290"/>
    </row>
    <row r="46" spans="1:20" s="25" customFormat="1" ht="15" customHeight="1">
      <c r="A46" s="288"/>
      <c r="B46" s="289"/>
      <c r="C46" s="289"/>
      <c r="D46" s="290"/>
      <c r="E46" s="288"/>
      <c r="F46" s="289"/>
      <c r="G46" s="289"/>
      <c r="H46" s="290"/>
      <c r="I46" s="288"/>
      <c r="J46" s="289"/>
      <c r="K46" s="289"/>
      <c r="L46" s="290"/>
      <c r="M46" s="288"/>
      <c r="N46" s="289"/>
      <c r="O46" s="289"/>
      <c r="P46" s="290"/>
      <c r="Q46" s="288"/>
      <c r="R46" s="289"/>
      <c r="S46" s="289"/>
      <c r="T46" s="290"/>
    </row>
    <row r="47" spans="1:20" s="25" customFormat="1" ht="15" customHeight="1">
      <c r="A47" s="299" t="s">
        <v>339</v>
      </c>
      <c r="B47" s="300"/>
      <c r="C47" s="300"/>
      <c r="D47" s="300"/>
      <c r="E47" s="295"/>
      <c r="F47" s="303"/>
      <c r="G47" s="303"/>
      <c r="H47" s="303"/>
      <c r="I47" s="295"/>
      <c r="J47" s="303"/>
      <c r="K47" s="299" t="s">
        <v>340</v>
      </c>
      <c r="L47" s="300"/>
      <c r="M47" s="300"/>
      <c r="N47" s="300"/>
      <c r="O47" s="295"/>
      <c r="P47" s="303"/>
      <c r="Q47" s="303"/>
      <c r="R47" s="303"/>
      <c r="S47" s="295"/>
      <c r="T47" s="296"/>
    </row>
    <row r="48" spans="1:20" s="25" customFormat="1" ht="15" customHeight="1">
      <c r="A48" s="301"/>
      <c r="B48" s="302"/>
      <c r="C48" s="302"/>
      <c r="D48" s="302"/>
      <c r="E48" s="297"/>
      <c r="F48" s="297"/>
      <c r="G48" s="297"/>
      <c r="H48" s="297"/>
      <c r="I48" s="297"/>
      <c r="J48" s="297"/>
      <c r="K48" s="301"/>
      <c r="L48" s="302"/>
      <c r="M48" s="302"/>
      <c r="N48" s="302"/>
      <c r="O48" s="297"/>
      <c r="P48" s="297"/>
      <c r="Q48" s="297"/>
      <c r="R48" s="297"/>
      <c r="S48" s="297"/>
      <c r="T48" s="298"/>
    </row>
    <row r="49" spans="1:20" s="25" customFormat="1" ht="15" customHeight="1">
      <c r="A49" s="288"/>
      <c r="B49" s="289"/>
      <c r="C49" s="289"/>
      <c r="D49" s="289"/>
      <c r="E49" s="289"/>
      <c r="F49" s="289"/>
      <c r="G49" s="289"/>
      <c r="H49" s="289"/>
      <c r="I49" s="289"/>
      <c r="J49" s="290"/>
      <c r="K49" s="288"/>
      <c r="L49" s="291"/>
      <c r="M49" s="291"/>
      <c r="N49" s="291"/>
      <c r="O49" s="291"/>
      <c r="P49" s="291"/>
      <c r="Q49" s="291"/>
      <c r="R49" s="291"/>
      <c r="S49" s="291"/>
      <c r="T49" s="290"/>
    </row>
    <row r="50" spans="1:20" s="25" customFormat="1" ht="15" customHeight="1">
      <c r="A50" s="288"/>
      <c r="B50" s="289"/>
      <c r="C50" s="289"/>
      <c r="D50" s="289"/>
      <c r="E50" s="289"/>
      <c r="F50" s="289"/>
      <c r="G50" s="289"/>
      <c r="H50" s="289"/>
      <c r="I50" s="289"/>
      <c r="J50" s="290"/>
      <c r="K50" s="288"/>
      <c r="L50" s="291"/>
      <c r="M50" s="291"/>
      <c r="N50" s="291"/>
      <c r="O50" s="291"/>
      <c r="P50" s="291"/>
      <c r="Q50" s="291"/>
      <c r="R50" s="291"/>
      <c r="S50" s="291"/>
      <c r="T50" s="290"/>
    </row>
    <row r="51" spans="1:20" s="25" customFormat="1" ht="15" customHeight="1">
      <c r="A51" s="288"/>
      <c r="B51" s="289"/>
      <c r="C51" s="289"/>
      <c r="D51" s="289"/>
      <c r="E51" s="289"/>
      <c r="F51" s="289"/>
      <c r="G51" s="289"/>
      <c r="H51" s="289"/>
      <c r="I51" s="289"/>
      <c r="J51" s="290"/>
      <c r="K51" s="288"/>
      <c r="L51" s="291"/>
      <c r="M51" s="291"/>
      <c r="N51" s="291"/>
      <c r="O51" s="291"/>
      <c r="P51" s="291"/>
      <c r="Q51" s="291"/>
      <c r="R51" s="291"/>
      <c r="S51" s="291"/>
      <c r="T51" s="290"/>
    </row>
    <row r="52" spans="1:20" s="25" customFormat="1" ht="15" customHeight="1">
      <c r="A52" s="288"/>
      <c r="B52" s="289"/>
      <c r="C52" s="289"/>
      <c r="D52" s="289"/>
      <c r="E52" s="289"/>
      <c r="F52" s="289"/>
      <c r="G52" s="289"/>
      <c r="H52" s="289"/>
      <c r="I52" s="289"/>
      <c r="J52" s="290"/>
      <c r="K52" s="288"/>
      <c r="L52" s="291"/>
      <c r="M52" s="291"/>
      <c r="N52" s="291"/>
      <c r="O52" s="291"/>
      <c r="P52" s="291"/>
      <c r="Q52" s="291"/>
      <c r="R52" s="291"/>
      <c r="S52" s="291"/>
      <c r="T52" s="290"/>
    </row>
    <row r="53" spans="1:20" s="25" customFormat="1" ht="15" customHeight="1">
      <c r="A53" s="288"/>
      <c r="B53" s="289"/>
      <c r="C53" s="289"/>
      <c r="D53" s="289"/>
      <c r="E53" s="289"/>
      <c r="F53" s="289"/>
      <c r="G53" s="289"/>
      <c r="H53" s="289"/>
      <c r="I53" s="289"/>
      <c r="J53" s="290"/>
      <c r="K53" s="288"/>
      <c r="L53" s="291"/>
      <c r="M53" s="291"/>
      <c r="N53" s="291"/>
      <c r="O53" s="291"/>
      <c r="P53" s="291"/>
      <c r="Q53" s="291"/>
      <c r="R53" s="291"/>
      <c r="S53" s="291"/>
      <c r="T53" s="290"/>
    </row>
    <row r="54" spans="1:20" s="25" customFormat="1" ht="15" customHeight="1">
      <c r="A54" s="288"/>
      <c r="B54" s="289"/>
      <c r="C54" s="289"/>
      <c r="D54" s="289"/>
      <c r="E54" s="289"/>
      <c r="F54" s="289"/>
      <c r="G54" s="289"/>
      <c r="H54" s="289"/>
      <c r="I54" s="289"/>
      <c r="J54" s="290"/>
      <c r="K54" s="288"/>
      <c r="L54" s="291"/>
      <c r="M54" s="291"/>
      <c r="N54" s="291"/>
      <c r="O54" s="291"/>
      <c r="P54" s="291"/>
      <c r="Q54" s="291"/>
      <c r="R54" s="291"/>
      <c r="S54" s="291"/>
      <c r="T54" s="290"/>
    </row>
    <row r="55" spans="1:20" s="25" customFormat="1" ht="15" customHeight="1">
      <c r="A55" s="288"/>
      <c r="B55" s="289"/>
      <c r="C55" s="289"/>
      <c r="D55" s="289"/>
      <c r="E55" s="289"/>
      <c r="F55" s="289"/>
      <c r="G55" s="289"/>
      <c r="H55" s="289"/>
      <c r="I55" s="289"/>
      <c r="J55" s="290"/>
      <c r="K55" s="288"/>
      <c r="L55" s="291"/>
      <c r="M55" s="291"/>
      <c r="N55" s="291"/>
      <c r="O55" s="291"/>
      <c r="P55" s="291"/>
      <c r="Q55" s="291"/>
      <c r="R55" s="291"/>
      <c r="S55" s="291"/>
      <c r="T55" s="290"/>
    </row>
    <row r="56" spans="1:20" s="25" customFormat="1" ht="15" customHeight="1">
      <c r="A56" s="288"/>
      <c r="B56" s="289"/>
      <c r="C56" s="289"/>
      <c r="D56" s="289"/>
      <c r="E56" s="289"/>
      <c r="F56" s="289"/>
      <c r="G56" s="289"/>
      <c r="H56" s="289"/>
      <c r="I56" s="289"/>
      <c r="J56" s="290"/>
      <c r="K56" s="288"/>
      <c r="L56" s="291"/>
      <c r="M56" s="291"/>
      <c r="N56" s="291"/>
      <c r="O56" s="291"/>
      <c r="P56" s="291"/>
      <c r="Q56" s="291"/>
      <c r="R56" s="291"/>
      <c r="S56" s="291"/>
      <c r="T56" s="290"/>
    </row>
    <row r="57" spans="1:20" s="25" customFormat="1" ht="15" customHeight="1">
      <c r="A57" s="288"/>
      <c r="B57" s="289"/>
      <c r="C57" s="289"/>
      <c r="D57" s="289"/>
      <c r="E57" s="289"/>
      <c r="F57" s="289"/>
      <c r="G57" s="289"/>
      <c r="H57" s="289"/>
      <c r="I57" s="289"/>
      <c r="J57" s="290"/>
      <c r="K57" s="288"/>
      <c r="L57" s="291"/>
      <c r="M57" s="291"/>
      <c r="N57" s="291"/>
      <c r="O57" s="291"/>
      <c r="P57" s="291"/>
      <c r="Q57" s="291"/>
      <c r="R57" s="291"/>
      <c r="S57" s="291"/>
      <c r="T57" s="290"/>
    </row>
    <row r="58" spans="1:20" s="25" customFormat="1" ht="15" customHeight="1">
      <c r="A58" s="288"/>
      <c r="B58" s="289"/>
      <c r="C58" s="289"/>
      <c r="D58" s="289"/>
      <c r="E58" s="289"/>
      <c r="F58" s="289"/>
      <c r="G58" s="289"/>
      <c r="H58" s="289"/>
      <c r="I58" s="289"/>
      <c r="J58" s="290"/>
      <c r="K58" s="288"/>
      <c r="L58" s="291"/>
      <c r="M58" s="291"/>
      <c r="N58" s="291"/>
      <c r="O58" s="291"/>
      <c r="P58" s="291"/>
      <c r="Q58" s="291"/>
      <c r="R58" s="291"/>
      <c r="S58" s="291"/>
      <c r="T58" s="290"/>
    </row>
    <row r="59" spans="1:20" s="25" customFormat="1" ht="15" customHeight="1">
      <c r="A59" s="292"/>
      <c r="B59" s="293"/>
      <c r="C59" s="293"/>
      <c r="D59" s="293"/>
      <c r="E59" s="293"/>
      <c r="F59" s="293"/>
      <c r="G59" s="293"/>
      <c r="H59" s="293"/>
      <c r="I59" s="293"/>
      <c r="J59" s="294"/>
      <c r="K59" s="292"/>
      <c r="L59" s="293"/>
      <c r="M59" s="293"/>
      <c r="N59" s="293"/>
      <c r="O59" s="293"/>
      <c r="P59" s="293"/>
      <c r="Q59" s="293"/>
      <c r="R59" s="293"/>
      <c r="S59" s="293"/>
      <c r="T59" s="294"/>
    </row>
    <row r="60" spans="1:20" s="25" customFormat="1" ht="15" customHeight="1"/>
    <row r="61" spans="1:20" s="25" customFormat="1" ht="15" customHeight="1">
      <c r="A61" s="287"/>
      <c r="B61" s="287"/>
      <c r="C61" s="287"/>
      <c r="D61" s="287"/>
      <c r="E61" s="287"/>
      <c r="F61" s="287"/>
      <c r="G61" s="287"/>
      <c r="H61" s="287"/>
      <c r="I61" s="287"/>
      <c r="J61" s="287"/>
      <c r="K61" s="287"/>
      <c r="L61" s="287"/>
      <c r="M61" s="287"/>
      <c r="N61" s="287"/>
      <c r="O61" s="287"/>
      <c r="P61" s="287"/>
      <c r="Q61" s="287"/>
      <c r="R61" s="287"/>
      <c r="S61" s="287"/>
      <c r="T61" s="287"/>
    </row>
    <row r="62" spans="1:20" s="25" customFormat="1" ht="15" customHeight="1">
      <c r="A62" s="287"/>
      <c r="B62" s="287"/>
      <c r="C62" s="287"/>
      <c r="D62" s="287"/>
      <c r="E62" s="287"/>
      <c r="F62" s="287"/>
      <c r="G62" s="287"/>
      <c r="H62" s="287"/>
      <c r="I62" s="287"/>
      <c r="J62" s="287"/>
      <c r="K62" s="287"/>
      <c r="L62" s="287"/>
      <c r="M62" s="287"/>
      <c r="N62" s="287"/>
      <c r="O62" s="287"/>
      <c r="P62" s="287"/>
      <c r="Q62" s="287"/>
      <c r="R62" s="287"/>
      <c r="S62" s="287"/>
      <c r="T62" s="287"/>
    </row>
    <row r="63" spans="1:20" s="25" customFormat="1" ht="15" customHeight="1">
      <c r="A63" s="287"/>
      <c r="B63" s="287"/>
      <c r="C63" s="287"/>
      <c r="D63" s="287"/>
      <c r="E63" s="287"/>
      <c r="F63" s="287"/>
      <c r="G63" s="287"/>
      <c r="H63" s="287"/>
      <c r="I63" s="287"/>
      <c r="J63" s="287"/>
      <c r="K63" s="287"/>
      <c r="L63" s="287"/>
      <c r="M63" s="287"/>
      <c r="N63" s="287"/>
      <c r="O63" s="287"/>
      <c r="P63" s="287"/>
      <c r="Q63" s="287"/>
      <c r="R63" s="287"/>
      <c r="S63" s="287"/>
      <c r="T63" s="287"/>
    </row>
    <row r="64" spans="1:20" s="25" customFormat="1">
      <c r="A64" s="287"/>
      <c r="B64" s="287"/>
      <c r="C64" s="287"/>
      <c r="D64" s="287"/>
      <c r="E64" s="287"/>
      <c r="F64" s="287"/>
      <c r="G64" s="287"/>
      <c r="H64" s="287"/>
      <c r="I64" s="287"/>
      <c r="J64" s="287"/>
      <c r="K64" s="287"/>
      <c r="L64" s="287"/>
      <c r="M64" s="287"/>
      <c r="N64" s="287"/>
      <c r="O64" s="287"/>
      <c r="P64" s="287"/>
      <c r="Q64" s="287"/>
      <c r="R64" s="287"/>
      <c r="S64" s="287"/>
      <c r="T64" s="287"/>
    </row>
    <row r="65" spans="1:20" s="25" customFormat="1">
      <c r="A65" s="287"/>
      <c r="B65" s="287"/>
      <c r="C65" s="287"/>
      <c r="D65" s="287"/>
      <c r="E65" s="287"/>
      <c r="F65" s="287"/>
      <c r="G65" s="287"/>
      <c r="H65" s="287"/>
      <c r="I65" s="287"/>
      <c r="J65" s="287"/>
      <c r="K65" s="287"/>
      <c r="L65" s="287"/>
      <c r="M65" s="287"/>
      <c r="N65" s="287"/>
      <c r="O65" s="287"/>
      <c r="P65" s="287"/>
      <c r="Q65" s="287"/>
      <c r="R65" s="287"/>
      <c r="S65" s="287"/>
      <c r="T65" s="287"/>
    </row>
    <row r="66" spans="1:20" s="25" customFormat="1">
      <c r="A66" s="287"/>
      <c r="B66" s="287"/>
      <c r="C66" s="287"/>
      <c r="D66" s="287"/>
      <c r="E66" s="287"/>
      <c r="F66" s="287"/>
      <c r="G66" s="287"/>
      <c r="H66" s="287"/>
      <c r="I66" s="287"/>
      <c r="J66" s="287"/>
      <c r="K66" s="287"/>
      <c r="L66" s="287"/>
      <c r="M66" s="287"/>
      <c r="N66" s="287"/>
      <c r="O66" s="287"/>
      <c r="P66" s="287"/>
      <c r="Q66" s="287"/>
      <c r="R66" s="287"/>
      <c r="S66" s="287"/>
      <c r="T66" s="287"/>
    </row>
    <row r="67" spans="1:20" s="25" customFormat="1">
      <c r="A67" s="287"/>
      <c r="B67" s="287"/>
      <c r="C67" s="287"/>
      <c r="D67" s="287"/>
      <c r="E67" s="287"/>
      <c r="F67" s="287"/>
      <c r="G67" s="287"/>
      <c r="H67" s="287"/>
      <c r="I67" s="287"/>
      <c r="J67" s="287"/>
      <c r="K67" s="287"/>
      <c r="L67" s="287"/>
      <c r="M67" s="287"/>
      <c r="N67" s="287"/>
      <c r="O67" s="287"/>
      <c r="P67" s="287"/>
      <c r="Q67" s="287"/>
      <c r="R67" s="287"/>
      <c r="S67" s="287"/>
      <c r="T67" s="287"/>
    </row>
    <row r="68" spans="1:20" s="25" customFormat="1">
      <c r="A68" s="287"/>
      <c r="B68" s="287"/>
      <c r="C68" s="287"/>
      <c r="D68" s="287"/>
      <c r="E68" s="287"/>
      <c r="F68" s="287"/>
      <c r="G68" s="287"/>
      <c r="H68" s="287"/>
      <c r="I68" s="287"/>
      <c r="J68" s="287"/>
      <c r="K68" s="287"/>
      <c r="L68" s="287"/>
      <c r="M68" s="287"/>
      <c r="N68" s="287"/>
      <c r="O68" s="287"/>
      <c r="P68" s="287"/>
      <c r="Q68" s="287"/>
      <c r="R68" s="287"/>
      <c r="S68" s="287"/>
      <c r="T68" s="287"/>
    </row>
    <row r="69" spans="1:20" s="25" customFormat="1">
      <c r="A69" s="287"/>
      <c r="B69" s="287"/>
      <c r="C69" s="287"/>
      <c r="D69" s="287"/>
      <c r="E69" s="287"/>
      <c r="F69" s="287"/>
      <c r="G69" s="287"/>
      <c r="H69" s="287"/>
      <c r="I69" s="287"/>
      <c r="J69" s="287"/>
      <c r="K69" s="287"/>
      <c r="L69" s="287"/>
      <c r="M69" s="287"/>
      <c r="N69" s="287"/>
      <c r="O69" s="287"/>
      <c r="P69" s="287"/>
      <c r="Q69" s="287"/>
      <c r="R69" s="287"/>
      <c r="S69" s="287"/>
      <c r="T69" s="287"/>
    </row>
  </sheetData>
  <sheetProtection algorithmName="SHA-512" hashValue="Nzd6ClNMO80v7HP+/e3xcmTtP3S66t0kWyrAULYAwJK66tAG7z8uPMMtFmamWal1rDTxaE3LlL19t2dQdXtB5g==" saltValue="humhVD4zzp61+G244xPCCQ==" spinCount="100000" sheet="1" scenarios="1" selectLockedCells="1" selectUnlockedCells="1"/>
  <mergeCells count="226">
    <mergeCell ref="I1:O4"/>
    <mergeCell ref="Q1:T4"/>
    <mergeCell ref="A2:G4"/>
    <mergeCell ref="A7:D8"/>
    <mergeCell ref="E7:H8"/>
    <mergeCell ref="M7:P8"/>
    <mergeCell ref="A9:D9"/>
    <mergeCell ref="E9:H9"/>
    <mergeCell ref="M9:P9"/>
    <mergeCell ref="I7:L10"/>
    <mergeCell ref="Q7:T10"/>
    <mergeCell ref="A10:D10"/>
    <mergeCell ref="E10:H10"/>
    <mergeCell ref="M10:P10"/>
    <mergeCell ref="A11:D11"/>
    <mergeCell ref="E11:H11"/>
    <mergeCell ref="I11:L11"/>
    <mergeCell ref="M11:P11"/>
    <mergeCell ref="Q11:T11"/>
    <mergeCell ref="A12:D12"/>
    <mergeCell ref="E12:H12"/>
    <mergeCell ref="I12:L12"/>
    <mergeCell ref="M12:P12"/>
    <mergeCell ref="Q12:T12"/>
    <mergeCell ref="A13:D13"/>
    <mergeCell ref="E13:H13"/>
    <mergeCell ref="I13:L13"/>
    <mergeCell ref="M13:P13"/>
    <mergeCell ref="Q13:T13"/>
    <mergeCell ref="A14:D14"/>
    <mergeCell ref="E14:H14"/>
    <mergeCell ref="I14:L14"/>
    <mergeCell ref="M14:P14"/>
    <mergeCell ref="Q14:T14"/>
    <mergeCell ref="A15:D15"/>
    <mergeCell ref="E15:H15"/>
    <mergeCell ref="I15:L15"/>
    <mergeCell ref="M15:P15"/>
    <mergeCell ref="Q15:T15"/>
    <mergeCell ref="A16:D16"/>
    <mergeCell ref="E16:H16"/>
    <mergeCell ref="I16:L16"/>
    <mergeCell ref="M16:P16"/>
    <mergeCell ref="Q16:T16"/>
    <mergeCell ref="A17:D17"/>
    <mergeCell ref="E17:H17"/>
    <mergeCell ref="I17:L17"/>
    <mergeCell ref="M17:P17"/>
    <mergeCell ref="Q17:T17"/>
    <mergeCell ref="A18:D18"/>
    <mergeCell ref="E18:H18"/>
    <mergeCell ref="I18:L18"/>
    <mergeCell ref="M18:P18"/>
    <mergeCell ref="Q18:T18"/>
    <mergeCell ref="A19:D19"/>
    <mergeCell ref="E19:H19"/>
    <mergeCell ref="I19:L19"/>
    <mergeCell ref="M19:P19"/>
    <mergeCell ref="Q19:T19"/>
    <mergeCell ref="A20:D20"/>
    <mergeCell ref="E20:H20"/>
    <mergeCell ref="I20:L20"/>
    <mergeCell ref="M20:P20"/>
    <mergeCell ref="Q20:T20"/>
    <mergeCell ref="A21:D21"/>
    <mergeCell ref="E21:H21"/>
    <mergeCell ref="I21:L21"/>
    <mergeCell ref="M21:P21"/>
    <mergeCell ref="Q21:T21"/>
    <mergeCell ref="A22:D22"/>
    <mergeCell ref="E22:H22"/>
    <mergeCell ref="I22:L22"/>
    <mergeCell ref="M22:P22"/>
    <mergeCell ref="Q22:T22"/>
    <mergeCell ref="A23:D23"/>
    <mergeCell ref="E23:H23"/>
    <mergeCell ref="I23:L23"/>
    <mergeCell ref="M23:P23"/>
    <mergeCell ref="Q23:T23"/>
    <mergeCell ref="A24:D24"/>
    <mergeCell ref="E24:H24"/>
    <mergeCell ref="I24:L24"/>
    <mergeCell ref="M24:P24"/>
    <mergeCell ref="Q24:T24"/>
    <mergeCell ref="A25:D25"/>
    <mergeCell ref="E25:H25"/>
    <mergeCell ref="I25:L25"/>
    <mergeCell ref="M25:P25"/>
    <mergeCell ref="Q25:T25"/>
    <mergeCell ref="A26:D26"/>
    <mergeCell ref="E26:H26"/>
    <mergeCell ref="I26:L26"/>
    <mergeCell ref="M26:P26"/>
    <mergeCell ref="Q26:T26"/>
    <mergeCell ref="A27:D28"/>
    <mergeCell ref="E27:H28"/>
    <mergeCell ref="I27:L28"/>
    <mergeCell ref="M27:P28"/>
    <mergeCell ref="Q27:T28"/>
    <mergeCell ref="A29:D29"/>
    <mergeCell ref="E29:H29"/>
    <mergeCell ref="I29:L29"/>
    <mergeCell ref="M29:P29"/>
    <mergeCell ref="Q29:T29"/>
    <mergeCell ref="A30:D30"/>
    <mergeCell ref="E30:H30"/>
    <mergeCell ref="I30:L30"/>
    <mergeCell ref="M30:P30"/>
    <mergeCell ref="Q30:T30"/>
    <mergeCell ref="A31:D31"/>
    <mergeCell ref="E31:H31"/>
    <mergeCell ref="I31:L31"/>
    <mergeCell ref="M31:P31"/>
    <mergeCell ref="Q31:T31"/>
    <mergeCell ref="A32:D32"/>
    <mergeCell ref="E32:H32"/>
    <mergeCell ref="I32:L32"/>
    <mergeCell ref="M32:P32"/>
    <mergeCell ref="Q32:T32"/>
    <mergeCell ref="A33:D33"/>
    <mergeCell ref="E33:H33"/>
    <mergeCell ref="I33:L33"/>
    <mergeCell ref="M33:P33"/>
    <mergeCell ref="Q33:T33"/>
    <mergeCell ref="A34:D34"/>
    <mergeCell ref="E34:H34"/>
    <mergeCell ref="I34:L34"/>
    <mergeCell ref="M34:P34"/>
    <mergeCell ref="Q34:T34"/>
    <mergeCell ref="A35:D35"/>
    <mergeCell ref="E35:H35"/>
    <mergeCell ref="I35:L35"/>
    <mergeCell ref="M35:P35"/>
    <mergeCell ref="Q35:T35"/>
    <mergeCell ref="A36:D36"/>
    <mergeCell ref="E36:H36"/>
    <mergeCell ref="I36:L36"/>
    <mergeCell ref="M36:P36"/>
    <mergeCell ref="Q36:T36"/>
    <mergeCell ref="A37:D37"/>
    <mergeCell ref="E37:H37"/>
    <mergeCell ref="I37:L37"/>
    <mergeCell ref="M37:P37"/>
    <mergeCell ref="Q37:T37"/>
    <mergeCell ref="A38:D38"/>
    <mergeCell ref="E38:H38"/>
    <mergeCell ref="I38:L38"/>
    <mergeCell ref="M38:P38"/>
    <mergeCell ref="Q38:T38"/>
    <mergeCell ref="A39:D39"/>
    <mergeCell ref="E39:H39"/>
    <mergeCell ref="I39:L39"/>
    <mergeCell ref="M39:P39"/>
    <mergeCell ref="Q39:T39"/>
    <mergeCell ref="A40:D40"/>
    <mergeCell ref="E40:H40"/>
    <mergeCell ref="I40:L40"/>
    <mergeCell ref="M40:P40"/>
    <mergeCell ref="Q40:T40"/>
    <mergeCell ref="A41:D41"/>
    <mergeCell ref="E41:H41"/>
    <mergeCell ref="I41:L41"/>
    <mergeCell ref="M41:P41"/>
    <mergeCell ref="Q41:T41"/>
    <mergeCell ref="A42:D42"/>
    <mergeCell ref="E42:H42"/>
    <mergeCell ref="I42:L42"/>
    <mergeCell ref="M42:P42"/>
    <mergeCell ref="Q42:T42"/>
    <mergeCell ref="A43:D43"/>
    <mergeCell ref="E43:H43"/>
    <mergeCell ref="I43:L43"/>
    <mergeCell ref="M43:P43"/>
    <mergeCell ref="Q43:T43"/>
    <mergeCell ref="A44:D44"/>
    <mergeCell ref="E44:H44"/>
    <mergeCell ref="I44:L44"/>
    <mergeCell ref="M44:P44"/>
    <mergeCell ref="Q44:T44"/>
    <mergeCell ref="A45:D45"/>
    <mergeCell ref="E45:H45"/>
    <mergeCell ref="I45:L45"/>
    <mergeCell ref="M45:P45"/>
    <mergeCell ref="Q45:T45"/>
    <mergeCell ref="S47:T48"/>
    <mergeCell ref="A49:J49"/>
    <mergeCell ref="K49:T49"/>
    <mergeCell ref="A50:J50"/>
    <mergeCell ref="K50:T50"/>
    <mergeCell ref="A51:J51"/>
    <mergeCell ref="K51:T51"/>
    <mergeCell ref="A46:D46"/>
    <mergeCell ref="E46:H46"/>
    <mergeCell ref="I46:L46"/>
    <mergeCell ref="M46:P46"/>
    <mergeCell ref="Q46:T46"/>
    <mergeCell ref="A47:D48"/>
    <mergeCell ref="E47:H48"/>
    <mergeCell ref="I47:J48"/>
    <mergeCell ref="K47:N48"/>
    <mergeCell ref="O47:R48"/>
    <mergeCell ref="A55:J55"/>
    <mergeCell ref="K55:T55"/>
    <mergeCell ref="A56:J56"/>
    <mergeCell ref="K56:T56"/>
    <mergeCell ref="A57:J57"/>
    <mergeCell ref="K57:T57"/>
    <mergeCell ref="A52:J52"/>
    <mergeCell ref="K52:T52"/>
    <mergeCell ref="A53:J53"/>
    <mergeCell ref="K53:T53"/>
    <mergeCell ref="A54:J54"/>
    <mergeCell ref="K54:T54"/>
    <mergeCell ref="A69:T69"/>
    <mergeCell ref="A63:T63"/>
    <mergeCell ref="A64:T64"/>
    <mergeCell ref="A65:T65"/>
    <mergeCell ref="A66:T66"/>
    <mergeCell ref="A67:T67"/>
    <mergeCell ref="A68:T68"/>
    <mergeCell ref="A58:J58"/>
    <mergeCell ref="K58:T58"/>
    <mergeCell ref="A59:J59"/>
    <mergeCell ref="K59:T59"/>
    <mergeCell ref="A61:T61"/>
    <mergeCell ref="A62:T62"/>
  </mergeCells>
  <phoneticPr fontId="4" type="noConversion"/>
  <printOptions horizontalCentered="1" verticalCentered="1"/>
  <pageMargins left="0.39370078740157483" right="0.39370078740157483" top="0.39370078740157483" bottom="0.39370078740157483" header="0.39370078740157483" footer="0.39370078740157483"/>
  <pageSetup paperSize="9" scale="60" orientation="landscape" horizontalDpi="4294967292" verticalDpi="4294967292"/>
  <drawing r:id="rId1"/>
  <legacyDrawing r:id="rId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8">
    <tabColor theme="0"/>
    <pageSetUpPr fitToPage="1"/>
  </sheetPr>
  <dimension ref="A1:E48"/>
  <sheetViews>
    <sheetView showZeros="0" workbookViewId="0">
      <selection activeCell="B27" sqref="B27"/>
    </sheetView>
  </sheetViews>
  <sheetFormatPr baseColWidth="10" defaultColWidth="10.88671875" defaultRowHeight="13.8"/>
  <cols>
    <col min="1" max="1" width="43" style="29" bestFit="1" customWidth="1"/>
    <col min="2" max="2" width="43.6640625" style="29" customWidth="1"/>
    <col min="3" max="5" width="12.6640625" style="29" customWidth="1"/>
    <col min="6" max="16384" width="10.88671875" style="29"/>
  </cols>
  <sheetData>
    <row r="1" spans="1:5" ht="36" customHeight="1">
      <c r="A1" s="320" t="s">
        <v>95</v>
      </c>
      <c r="B1" s="320"/>
      <c r="C1" s="8"/>
      <c r="D1" s="8"/>
      <c r="E1" s="8"/>
    </row>
    <row r="2" spans="1:5">
      <c r="A2" s="8"/>
      <c r="B2" s="8"/>
      <c r="C2" s="8"/>
      <c r="D2" s="8"/>
      <c r="E2" s="30" t="s">
        <v>226</v>
      </c>
    </row>
    <row r="3" spans="1:5">
      <c r="A3" s="321" t="s">
        <v>238</v>
      </c>
      <c r="B3" s="321"/>
      <c r="C3" s="8"/>
      <c r="D3" s="8"/>
      <c r="E3" s="30" t="s">
        <v>228</v>
      </c>
    </row>
    <row r="4" spans="1:5" ht="7.5" customHeight="1">
      <c r="A4" s="31"/>
      <c r="B4" s="32"/>
      <c r="C4" s="8"/>
      <c r="D4" s="8"/>
      <c r="E4" s="30"/>
    </row>
    <row r="5" spans="1:5" ht="14.4">
      <c r="A5" s="31" t="s">
        <v>61</v>
      </c>
      <c r="B5" s="247" t="s">
        <v>380</v>
      </c>
      <c r="C5" s="8"/>
      <c r="D5" s="8"/>
      <c r="E5" s="30"/>
    </row>
    <row r="6" spans="1:5" ht="14.4">
      <c r="A6" s="31" t="s">
        <v>133</v>
      </c>
      <c r="B6" s="248" t="s">
        <v>381</v>
      </c>
      <c r="C6" s="8"/>
      <c r="D6" s="8"/>
      <c r="E6" s="8"/>
    </row>
    <row r="7" spans="1:5" ht="14.4">
      <c r="A7" s="31" t="s">
        <v>56</v>
      </c>
      <c r="B7" s="247" t="s">
        <v>382</v>
      </c>
      <c r="C7" s="8"/>
      <c r="D7" s="8"/>
      <c r="E7" s="8"/>
    </row>
    <row r="8" spans="1:5" ht="14.4">
      <c r="A8" s="31" t="s">
        <v>225</v>
      </c>
      <c r="B8" s="33" t="s">
        <v>226</v>
      </c>
      <c r="C8" s="8"/>
      <c r="D8" s="30" t="s">
        <v>243</v>
      </c>
      <c r="E8" s="8"/>
    </row>
    <row r="9" spans="1:5" ht="14.4">
      <c r="A9" s="31" t="s">
        <v>62</v>
      </c>
      <c r="B9" s="247" t="s">
        <v>383</v>
      </c>
      <c r="C9" s="8"/>
      <c r="D9" s="30" t="s">
        <v>244</v>
      </c>
      <c r="E9" s="8"/>
    </row>
    <row r="10" spans="1:5" ht="14.4">
      <c r="A10" s="31" t="s">
        <v>54</v>
      </c>
      <c r="B10" s="249" t="s">
        <v>384</v>
      </c>
      <c r="C10" s="8"/>
      <c r="D10" s="30" t="s">
        <v>138</v>
      </c>
      <c r="E10" s="8"/>
    </row>
    <row r="11" spans="1:5" ht="14.4">
      <c r="A11" s="31"/>
      <c r="B11" s="34"/>
      <c r="C11" s="8"/>
      <c r="D11" s="30" t="s">
        <v>139</v>
      </c>
      <c r="E11" s="8"/>
    </row>
    <row r="12" spans="1:5" ht="14.4">
      <c r="A12" s="35"/>
      <c r="B12" s="36"/>
      <c r="C12" s="8"/>
      <c r="D12" s="8"/>
      <c r="E12" s="8"/>
    </row>
    <row r="13" spans="1:5">
      <c r="A13" s="321" t="s">
        <v>239</v>
      </c>
      <c r="B13" s="321"/>
      <c r="C13" s="8"/>
      <c r="D13" s="8"/>
      <c r="E13" s="8"/>
    </row>
    <row r="14" spans="1:5" ht="7.5" customHeight="1">
      <c r="A14" s="35"/>
      <c r="B14" s="36"/>
      <c r="C14" s="8"/>
      <c r="D14" s="8"/>
      <c r="E14" s="8"/>
    </row>
    <row r="15" spans="1:5" ht="14.25" customHeight="1">
      <c r="A15" s="35" t="s">
        <v>140</v>
      </c>
      <c r="B15" s="248" t="s">
        <v>385</v>
      </c>
      <c r="C15" s="8"/>
      <c r="D15" s="8"/>
      <c r="E15" s="8"/>
    </row>
    <row r="16" spans="1:5" ht="14.25" customHeight="1">
      <c r="A16" s="35" t="s">
        <v>141</v>
      </c>
      <c r="B16" s="247" t="s">
        <v>386</v>
      </c>
      <c r="C16" s="8"/>
      <c r="D16" s="8"/>
      <c r="E16" s="8"/>
    </row>
    <row r="17" spans="1:5" ht="14.25" customHeight="1">
      <c r="A17" s="35" t="s">
        <v>56</v>
      </c>
      <c r="B17" s="247" t="s">
        <v>382</v>
      </c>
      <c r="C17" s="8"/>
      <c r="D17" s="8"/>
      <c r="E17" s="8"/>
    </row>
    <row r="18" spans="1:5" ht="14.25" customHeight="1">
      <c r="A18" s="35" t="s">
        <v>144</v>
      </c>
      <c r="B18" s="248" t="s">
        <v>383</v>
      </c>
      <c r="C18" s="8"/>
      <c r="D18" s="8"/>
      <c r="E18" s="8"/>
    </row>
    <row r="19" spans="1:5" ht="14.25" customHeight="1">
      <c r="A19" s="35" t="s">
        <v>142</v>
      </c>
      <c r="B19" s="248" t="s">
        <v>387</v>
      </c>
      <c r="C19" s="8"/>
      <c r="D19" s="8"/>
      <c r="E19" s="8"/>
    </row>
    <row r="20" spans="1:5" ht="14.25" customHeight="1">
      <c r="A20" s="35" t="s">
        <v>114</v>
      </c>
      <c r="B20" s="250" t="s">
        <v>388</v>
      </c>
      <c r="C20" s="8"/>
      <c r="D20" s="8"/>
      <c r="E20" s="8"/>
    </row>
    <row r="21" spans="1:5" ht="14.25" customHeight="1">
      <c r="A21" s="35" t="s">
        <v>143</v>
      </c>
      <c r="B21" s="250" t="s">
        <v>384</v>
      </c>
      <c r="C21" s="8"/>
      <c r="D21" s="8"/>
      <c r="E21" s="8"/>
    </row>
    <row r="22" spans="1:5" ht="14.25" customHeight="1">
      <c r="A22" s="35"/>
      <c r="B22" s="34"/>
      <c r="C22" s="8"/>
      <c r="D22" s="8"/>
      <c r="E22" s="8"/>
    </row>
    <row r="23" spans="1:5" ht="14.4">
      <c r="A23" s="35" t="s">
        <v>137</v>
      </c>
      <c r="B23" s="33" t="s">
        <v>243</v>
      </c>
      <c r="C23" s="8"/>
    </row>
    <row r="24" spans="1:5" ht="14.4">
      <c r="A24" s="35"/>
      <c r="B24" s="37"/>
      <c r="C24" s="8"/>
    </row>
    <row r="25" spans="1:5" ht="14.4">
      <c r="A25" s="35" t="s">
        <v>55</v>
      </c>
      <c r="B25" s="38">
        <v>44927</v>
      </c>
      <c r="C25" s="8"/>
    </row>
    <row r="26" spans="1:5" ht="14.4">
      <c r="A26" s="35" t="s">
        <v>58</v>
      </c>
      <c r="B26" s="38">
        <v>45291</v>
      </c>
      <c r="C26" s="8"/>
    </row>
    <row r="27" spans="1:5" ht="14.4">
      <c r="A27" s="35" t="s">
        <v>57</v>
      </c>
      <c r="B27" s="45">
        <f>((YEAR(B26)-YEAR(B25))*12+MONTH(B26)-MONTH(B25))+1</f>
        <v>12</v>
      </c>
      <c r="C27" s="39"/>
    </row>
    <row r="28" spans="1:5" ht="14.4">
      <c r="A28" s="31"/>
      <c r="B28" s="37"/>
      <c r="C28" s="39"/>
    </row>
    <row r="29" spans="1:5" ht="14.4">
      <c r="A29" s="35" t="s">
        <v>240</v>
      </c>
      <c r="B29" s="33">
        <v>11</v>
      </c>
      <c r="C29" s="39"/>
      <c r="D29" s="39"/>
      <c r="E29" s="8"/>
    </row>
    <row r="30" spans="1:5" ht="14.4">
      <c r="A30" s="35" t="s">
        <v>59</v>
      </c>
      <c r="B30" s="33">
        <v>5</v>
      </c>
      <c r="C30" s="39"/>
      <c r="D30" s="39"/>
      <c r="E30" s="8"/>
    </row>
    <row r="31" spans="1:5" ht="14.4">
      <c r="A31" s="35"/>
      <c r="B31" s="36"/>
      <c r="C31" s="8"/>
      <c r="D31" s="8"/>
      <c r="E31" s="8"/>
    </row>
    <row r="32" spans="1:5">
      <c r="A32" s="47" t="s">
        <v>116</v>
      </c>
      <c r="B32" s="49">
        <f>21.7/5*B30</f>
        <v>21.7</v>
      </c>
      <c r="C32" s="8"/>
      <c r="D32" s="8"/>
      <c r="E32" s="8"/>
    </row>
    <row r="33" spans="1:5">
      <c r="A33" s="47" t="s">
        <v>60</v>
      </c>
      <c r="B33" s="50">
        <f>(B32*B27)/12*B29</f>
        <v>238.7</v>
      </c>
      <c r="C33" s="8"/>
      <c r="D33" s="8"/>
      <c r="E33" s="8"/>
    </row>
    <row r="34" spans="1:5" ht="14.4">
      <c r="A34" s="35"/>
      <c r="B34" s="36"/>
    </row>
    <row r="35" spans="1:5" ht="14.4">
      <c r="A35" s="35" t="s">
        <v>328</v>
      </c>
      <c r="B35" s="40">
        <v>0.15</v>
      </c>
    </row>
    <row r="36" spans="1:5" ht="14.4">
      <c r="A36" s="35" t="s">
        <v>329</v>
      </c>
      <c r="B36" s="40">
        <v>0.15</v>
      </c>
    </row>
    <row r="37" spans="1:5" ht="14.4">
      <c r="A37" s="35" t="s">
        <v>241</v>
      </c>
      <c r="B37" s="41"/>
    </row>
    <row r="38" spans="1:5" ht="14.4">
      <c r="A38" s="35" t="s">
        <v>242</v>
      </c>
      <c r="B38" s="41"/>
    </row>
    <row r="39" spans="1:5" ht="14.4">
      <c r="A39" s="35" t="s">
        <v>324</v>
      </c>
      <c r="B39" s="41"/>
    </row>
    <row r="42" spans="1:5">
      <c r="A42" s="321" t="s">
        <v>313</v>
      </c>
      <c r="B42" s="321"/>
    </row>
    <row r="43" spans="1:5">
      <c r="A43" s="8"/>
      <c r="B43" s="46" t="s">
        <v>345</v>
      </c>
    </row>
    <row r="44" spans="1:5">
      <c r="A44" s="8" t="s">
        <v>310</v>
      </c>
      <c r="B44" s="48"/>
    </row>
    <row r="45" spans="1:5">
      <c r="A45" s="8" t="s">
        <v>311</v>
      </c>
      <c r="B45" s="48"/>
    </row>
    <row r="46" spans="1:5">
      <c r="A46" s="8" t="s">
        <v>312</v>
      </c>
      <c r="B46" s="48"/>
    </row>
    <row r="47" spans="1:5">
      <c r="A47" s="18"/>
      <c r="B47" s="42"/>
      <c r="C47" s="18"/>
    </row>
    <row r="48" spans="1:5">
      <c r="A48" s="43" t="s">
        <v>314</v>
      </c>
      <c r="B48" s="44">
        <f>SUM(B44:B46)</f>
        <v>0</v>
      </c>
      <c r="C48" s="18"/>
    </row>
  </sheetData>
  <sheetProtection algorithmName="SHA-512" hashValue="vj65kJLhXBto6pPL16JOkSfYJzswLFI/lm3O7bs64X2nw0gcCoe/1G1TiKq+GpVLRBi+GUtvVsUHCiREfPLi7A==" saltValue="KrAZ7OTLIOaCYIm54MParw==" spinCount="100000" sheet="1" objects="1" scenarios="1"/>
  <mergeCells count="4">
    <mergeCell ref="A1:B1"/>
    <mergeCell ref="A3:B3"/>
    <mergeCell ref="A13:B13"/>
    <mergeCell ref="A42:B42"/>
  </mergeCells>
  <phoneticPr fontId="0" type="noConversion"/>
  <dataValidations count="2">
    <dataValidation type="list" allowBlank="1" showInputMessage="1" showErrorMessage="1" sqref="B23" xr:uid="{00000000-0002-0000-0400-000000000000}">
      <formula1>$D$8:$D$11</formula1>
    </dataValidation>
    <dataValidation type="list" allowBlank="1" showInputMessage="1" showErrorMessage="1" sqref="B8" xr:uid="{00000000-0002-0000-0400-000001000000}">
      <formula1>$E$2:$E$3</formula1>
    </dataValidation>
  </dataValidations>
  <printOptions horizontalCentered="1"/>
  <pageMargins left="0.78740157480314965" right="0.78740157480314965" top="0.98425196850393704" bottom="0.78740157480314965" header="0.51181102362204722" footer="0.39370078740157483"/>
  <pageSetup paperSize="9" scale="99" orientation="portrait" r:id="rId1"/>
  <headerFooter scaleWithDoc="0">
    <oddFooter>&amp;R2</oddFooter>
  </headerFooter>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0"/>
    <pageSetUpPr fitToPage="1"/>
  </sheetPr>
  <dimension ref="A1:B51"/>
  <sheetViews>
    <sheetView workbookViewId="0">
      <selection activeCell="E45" sqref="E45"/>
    </sheetView>
  </sheetViews>
  <sheetFormatPr baseColWidth="10" defaultColWidth="10.88671875" defaultRowHeight="13.8"/>
  <cols>
    <col min="1" max="2" width="43.88671875" style="18" customWidth="1"/>
    <col min="3" max="256" width="9.109375" style="18" customWidth="1"/>
    <col min="257" max="16384" width="10.88671875" style="18"/>
  </cols>
  <sheetData>
    <row r="1" spans="1:2" ht="36" customHeight="1">
      <c r="A1" s="320" t="s">
        <v>266</v>
      </c>
      <c r="B1" s="320"/>
    </row>
    <row r="4" spans="1:2" ht="15.75" customHeight="1">
      <c r="A4" s="325" t="s">
        <v>66</v>
      </c>
      <c r="B4" s="325"/>
    </row>
    <row r="5" spans="1:2" ht="13.5" customHeight="1">
      <c r="A5" s="326" t="s">
        <v>389</v>
      </c>
      <c r="B5" s="327"/>
    </row>
    <row r="6" spans="1:2" ht="13.5" customHeight="1">
      <c r="A6" s="328"/>
      <c r="B6" s="328"/>
    </row>
    <row r="7" spans="1:2" ht="13.5" customHeight="1">
      <c r="A7" s="328"/>
      <c r="B7" s="328"/>
    </row>
    <row r="8" spans="1:2" ht="13.5" customHeight="1">
      <c r="A8" s="328"/>
      <c r="B8" s="328"/>
    </row>
    <row r="9" spans="1:2" ht="13.5" customHeight="1">
      <c r="A9" s="328"/>
      <c r="B9" s="328"/>
    </row>
    <row r="10" spans="1:2" ht="13.5" customHeight="1">
      <c r="A10" s="328"/>
      <c r="B10" s="328"/>
    </row>
    <row r="11" spans="1:2" ht="13.5" customHeight="1">
      <c r="A11" s="328"/>
      <c r="B11" s="328"/>
    </row>
    <row r="12" spans="1:2" ht="13.5" customHeight="1">
      <c r="A12" s="328"/>
      <c r="B12" s="328"/>
    </row>
    <row r="13" spans="1:2" ht="15.75" customHeight="1">
      <c r="A13" s="325" t="s">
        <v>63</v>
      </c>
      <c r="B13" s="325"/>
    </row>
    <row r="14" spans="1:2" ht="13.5" customHeight="1">
      <c r="A14" s="326" t="s">
        <v>390</v>
      </c>
      <c r="B14" s="327"/>
    </row>
    <row r="15" spans="1:2" ht="13.5" customHeight="1">
      <c r="A15" s="328"/>
      <c r="B15" s="328"/>
    </row>
    <row r="16" spans="1:2" ht="13.5" customHeight="1">
      <c r="A16" s="328"/>
      <c r="B16" s="328"/>
    </row>
    <row r="17" spans="1:2" ht="13.5" customHeight="1">
      <c r="A17" s="328"/>
      <c r="B17" s="328"/>
    </row>
    <row r="18" spans="1:2" ht="13.5" customHeight="1">
      <c r="A18" s="328"/>
      <c r="B18" s="328"/>
    </row>
    <row r="19" spans="1:2" ht="13.5" customHeight="1">
      <c r="A19" s="328"/>
      <c r="B19" s="328"/>
    </row>
    <row r="20" spans="1:2" ht="13.5" customHeight="1">
      <c r="A20" s="328"/>
      <c r="B20" s="328"/>
    </row>
    <row r="21" spans="1:2" ht="13.5" customHeight="1">
      <c r="A21" s="328"/>
      <c r="B21" s="328"/>
    </row>
    <row r="22" spans="1:2">
      <c r="A22" s="325" t="s">
        <v>67</v>
      </c>
      <c r="B22" s="325"/>
    </row>
    <row r="23" spans="1:2" ht="13.5" customHeight="1">
      <c r="A23" s="329" t="s">
        <v>391</v>
      </c>
      <c r="B23" s="330"/>
    </row>
    <row r="24" spans="1:2" ht="13.5" customHeight="1">
      <c r="A24" s="331"/>
      <c r="B24" s="331"/>
    </row>
    <row r="25" spans="1:2" ht="13.5" customHeight="1">
      <c r="A25" s="331"/>
      <c r="B25" s="331"/>
    </row>
    <row r="26" spans="1:2" ht="13.5" customHeight="1">
      <c r="A26" s="331"/>
      <c r="B26" s="331"/>
    </row>
    <row r="27" spans="1:2" ht="13.5" customHeight="1">
      <c r="A27" s="331"/>
      <c r="B27" s="331"/>
    </row>
    <row r="28" spans="1:2" ht="13.5" customHeight="1">
      <c r="A28" s="331"/>
      <c r="B28" s="331"/>
    </row>
    <row r="29" spans="1:2" ht="13.5" customHeight="1">
      <c r="A29" s="331"/>
      <c r="B29" s="331"/>
    </row>
    <row r="30" spans="1:2" ht="13.5" customHeight="1">
      <c r="A30" s="331"/>
      <c r="B30" s="331"/>
    </row>
    <row r="31" spans="1:2" ht="15.75" customHeight="1">
      <c r="A31" s="325" t="s">
        <v>64</v>
      </c>
      <c r="B31" s="325"/>
    </row>
    <row r="32" spans="1:2" ht="13.5" customHeight="1">
      <c r="A32" s="329" t="s">
        <v>392</v>
      </c>
      <c r="B32" s="330"/>
    </row>
    <row r="33" spans="1:2" ht="13.5" customHeight="1">
      <c r="A33" s="331"/>
      <c r="B33" s="331"/>
    </row>
    <row r="34" spans="1:2" ht="13.5" customHeight="1">
      <c r="A34" s="331"/>
      <c r="B34" s="331"/>
    </row>
    <row r="35" spans="1:2" ht="13.5" customHeight="1">
      <c r="A35" s="331"/>
      <c r="B35" s="331"/>
    </row>
    <row r="36" spans="1:2" ht="13.5" customHeight="1">
      <c r="A36" s="331"/>
      <c r="B36" s="331"/>
    </row>
    <row r="37" spans="1:2" ht="13.5" customHeight="1">
      <c r="A37" s="331"/>
      <c r="B37" s="331"/>
    </row>
    <row r="38" spans="1:2" ht="13.5" customHeight="1">
      <c r="A38" s="331"/>
      <c r="B38" s="331"/>
    </row>
    <row r="39" spans="1:2" ht="13.5" customHeight="1">
      <c r="A39" s="331"/>
      <c r="B39" s="331"/>
    </row>
    <row r="40" spans="1:2" ht="12.75" customHeight="1">
      <c r="A40" s="331"/>
      <c r="B40" s="331"/>
    </row>
    <row r="41" spans="1:2" ht="12.75" customHeight="1">
      <c r="A41" s="331"/>
      <c r="B41" s="331"/>
    </row>
    <row r="42" spans="1:2" ht="12.75" customHeight="1">
      <c r="A42" s="331"/>
      <c r="B42" s="331"/>
    </row>
    <row r="43" spans="1:2" ht="15.75" customHeight="1">
      <c r="A43" s="87" t="s">
        <v>341</v>
      </c>
      <c r="B43" s="88" t="s">
        <v>290</v>
      </c>
    </row>
    <row r="44" spans="1:2" ht="15.9" customHeight="1">
      <c r="A44" s="322" t="s">
        <v>393</v>
      </c>
      <c r="B44" s="322" t="s">
        <v>394</v>
      </c>
    </row>
    <row r="45" spans="1:2" ht="15.9" customHeight="1">
      <c r="A45" s="323"/>
      <c r="B45" s="323"/>
    </row>
    <row r="46" spans="1:2" ht="15.9" customHeight="1">
      <c r="A46" s="323"/>
      <c r="B46" s="323"/>
    </row>
    <row r="47" spans="1:2" ht="15.9" customHeight="1">
      <c r="A47" s="323"/>
      <c r="B47" s="323"/>
    </row>
    <row r="48" spans="1:2" ht="15.9" customHeight="1">
      <c r="A48" s="323"/>
      <c r="B48" s="323"/>
    </row>
    <row r="49" spans="1:2" ht="15.9" customHeight="1">
      <c r="A49" s="324"/>
      <c r="B49" s="324"/>
    </row>
    <row r="50" spans="1:2" ht="15.9" customHeight="1"/>
    <row r="51" spans="1:2" ht="15.9" customHeight="1"/>
  </sheetData>
  <sheetProtection password="C628" sheet="1" objects="1" scenarios="1"/>
  <mergeCells count="11">
    <mergeCell ref="A44:A49"/>
    <mergeCell ref="B44:B49"/>
    <mergeCell ref="A1:B1"/>
    <mergeCell ref="A4:B4"/>
    <mergeCell ref="A5:B12"/>
    <mergeCell ref="A13:B13"/>
    <mergeCell ref="A32:B42"/>
    <mergeCell ref="A22:B22"/>
    <mergeCell ref="A31:B31"/>
    <mergeCell ref="A23:B30"/>
    <mergeCell ref="A14:B21"/>
  </mergeCells>
  <phoneticPr fontId="4" type="noConversion"/>
  <pageMargins left="0.78740157480314965" right="0.78740157480314965" top="0.98425196850393704" bottom="0.78740157480314965" header="0.51181102362204722" footer="0.39370078740157483"/>
  <pageSetup paperSize="9" scale="99" orientation="portrait" r:id="rId1"/>
  <headerFooter scaleWithDoc="0">
    <oddFooter>&amp;R3</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0"/>
    <pageSetUpPr fitToPage="1"/>
  </sheetPr>
  <dimension ref="A1:N36"/>
  <sheetViews>
    <sheetView showZeros="0" workbookViewId="0">
      <selection activeCell="E25" sqref="E25"/>
    </sheetView>
  </sheetViews>
  <sheetFormatPr baseColWidth="10" defaultColWidth="10.88671875" defaultRowHeight="13.8"/>
  <cols>
    <col min="1" max="1" width="19.44140625" style="18" customWidth="1"/>
    <col min="2" max="2" width="25.6640625" style="18" customWidth="1"/>
    <col min="3" max="3" width="23" style="18" customWidth="1"/>
    <col min="4" max="4" width="22.44140625" style="18" customWidth="1"/>
    <col min="5" max="5" width="10.44140625" style="18" customWidth="1"/>
    <col min="6" max="6" width="15.44140625" style="18" customWidth="1"/>
    <col min="7" max="8" width="16" style="18" customWidth="1"/>
    <col min="9" max="9" width="7.88671875" style="18" customWidth="1"/>
    <col min="10" max="257" width="9.109375" style="18" customWidth="1"/>
    <col min="258" max="16384" width="10.88671875" style="18"/>
  </cols>
  <sheetData>
    <row r="1" spans="1:14" ht="36" customHeight="1">
      <c r="A1" s="320" t="s">
        <v>256</v>
      </c>
      <c r="B1" s="320"/>
      <c r="C1" s="320"/>
      <c r="D1" s="320"/>
      <c r="E1" s="320"/>
      <c r="F1" s="320"/>
      <c r="G1" s="320"/>
      <c r="H1" s="320"/>
      <c r="I1" s="51"/>
      <c r="J1" s="51"/>
    </row>
    <row r="2" spans="1:14">
      <c r="I2" s="52"/>
      <c r="J2" s="52"/>
      <c r="K2" s="52"/>
      <c r="L2" s="52"/>
    </row>
    <row r="3" spans="1:14" ht="15" customHeight="1">
      <c r="A3" s="332" t="s">
        <v>145</v>
      </c>
      <c r="B3" s="332"/>
      <c r="C3" s="332"/>
      <c r="D3" s="332"/>
      <c r="E3" s="332"/>
      <c r="F3" s="332"/>
      <c r="G3" s="332"/>
      <c r="H3" s="332"/>
      <c r="I3" s="52"/>
      <c r="J3" s="52"/>
      <c r="K3" s="52"/>
      <c r="L3" s="52"/>
      <c r="M3" s="52"/>
      <c r="N3" s="52"/>
    </row>
    <row r="4" spans="1:14" ht="27.6">
      <c r="A4" s="67" t="s">
        <v>146</v>
      </c>
      <c r="B4" s="333" t="s">
        <v>148</v>
      </c>
      <c r="C4" s="333"/>
      <c r="D4" s="67" t="s">
        <v>65</v>
      </c>
      <c r="E4" s="67" t="s">
        <v>147</v>
      </c>
      <c r="F4" s="67" t="s">
        <v>327</v>
      </c>
      <c r="G4" s="67" t="s">
        <v>325</v>
      </c>
      <c r="H4" s="67" t="s">
        <v>326</v>
      </c>
      <c r="I4" s="53" t="s">
        <v>331</v>
      </c>
      <c r="J4" s="53" t="s">
        <v>333</v>
      </c>
      <c r="K4" s="53" t="s">
        <v>330</v>
      </c>
      <c r="L4" s="53" t="s">
        <v>332</v>
      </c>
      <c r="M4" s="52"/>
      <c r="N4" s="52"/>
    </row>
    <row r="5" spans="1:14" ht="15.75" customHeight="1">
      <c r="A5" s="251" t="s">
        <v>395</v>
      </c>
      <c r="B5" s="335" t="s">
        <v>396</v>
      </c>
      <c r="C5" s="335"/>
      <c r="D5" s="252" t="s">
        <v>397</v>
      </c>
      <c r="E5" s="55" t="s">
        <v>249</v>
      </c>
      <c r="F5" s="56">
        <v>54000</v>
      </c>
      <c r="G5" s="57">
        <f>IF(E5="",0,IF(E5="non",F5*Informations!$B$35,TabAVS!$B$38))</f>
        <v>6067.25</v>
      </c>
      <c r="H5" s="57">
        <f>IF(E5="",0,IF(E5="non",F5*Informations!$B$36,0))</f>
        <v>0</v>
      </c>
      <c r="I5" s="52">
        <f>IF(E5="Oui",F5,0)</f>
        <v>54000</v>
      </c>
      <c r="J5" s="52">
        <f>IF(E5="Oui",0,F5)</f>
        <v>0</v>
      </c>
      <c r="K5" s="52">
        <f>IF(E5="Oui",SUM(G5:H5),0)</f>
        <v>6067.25</v>
      </c>
      <c r="L5" s="52">
        <f>IF(E5="Oui",0,SUM(G5:H5))</f>
        <v>0</v>
      </c>
      <c r="M5" s="52"/>
      <c r="N5" s="52"/>
    </row>
    <row r="6" spans="1:14" ht="15.75" customHeight="1">
      <c r="A6" s="251" t="s">
        <v>398</v>
      </c>
      <c r="B6" s="335" t="s">
        <v>399</v>
      </c>
      <c r="C6" s="335"/>
      <c r="D6" s="252"/>
      <c r="E6" s="55" t="s">
        <v>250</v>
      </c>
      <c r="F6" s="56">
        <v>36000</v>
      </c>
      <c r="G6" s="57">
        <f>IF(E6="",0,IF(E6="non",F6*Informations!$B$35,TabAVS!$B$57))</f>
        <v>5400</v>
      </c>
      <c r="H6" s="57">
        <f>IF(E6="",0,IF(E6="non",F6*Informations!$B$36,0))</f>
        <v>5400</v>
      </c>
      <c r="I6" s="52">
        <f t="shared" ref="I6:I12" si="0">IF(E6="Oui",F6,0)</f>
        <v>0</v>
      </c>
      <c r="J6" s="52">
        <f t="shared" ref="J6:J12" si="1">IF(E6="Oui",0,F6)</f>
        <v>36000</v>
      </c>
      <c r="K6" s="52">
        <f t="shared" ref="K6:K12" si="2">IF(E6="Oui",SUM(G6:H6),0)</f>
        <v>0</v>
      </c>
      <c r="L6" s="52">
        <f t="shared" ref="L6:L12" si="3">IF(E6="Oui",0,SUM(G6:H6))</f>
        <v>10800</v>
      </c>
      <c r="M6" s="52"/>
      <c r="N6" s="52"/>
    </row>
    <row r="7" spans="1:14" ht="15.75" customHeight="1">
      <c r="A7" s="251" t="s">
        <v>398</v>
      </c>
      <c r="B7" s="335" t="s">
        <v>400</v>
      </c>
      <c r="C7" s="335"/>
      <c r="D7" s="252"/>
      <c r="E7" s="55" t="s">
        <v>250</v>
      </c>
      <c r="F7" s="56">
        <v>45600</v>
      </c>
      <c r="G7" s="57">
        <f>IF(E7="",0,IF(E7="non",F7*Informations!$B$35,TabAVS!$B$76))</f>
        <v>6840</v>
      </c>
      <c r="H7" s="57">
        <f>IF(E7="",0,IF(E7="non",F7*Informations!$B$36,0))</f>
        <v>6840</v>
      </c>
      <c r="I7" s="52">
        <f t="shared" si="0"/>
        <v>0</v>
      </c>
      <c r="J7" s="52">
        <f t="shared" si="1"/>
        <v>45600</v>
      </c>
      <c r="K7" s="52">
        <f t="shared" si="2"/>
        <v>0</v>
      </c>
      <c r="L7" s="52">
        <f t="shared" si="3"/>
        <v>13680</v>
      </c>
      <c r="M7" s="52"/>
      <c r="N7" s="52"/>
    </row>
    <row r="8" spans="1:14" ht="15.75" customHeight="1">
      <c r="A8" s="54"/>
      <c r="B8" s="334"/>
      <c r="C8" s="334"/>
      <c r="D8" s="55"/>
      <c r="E8" s="55"/>
      <c r="F8" s="56"/>
      <c r="G8" s="57">
        <f>IF(E8="",0,IF(E8="non",F8*Informations!$B$35,TabAVS!$B$38))</f>
        <v>0</v>
      </c>
      <c r="H8" s="57">
        <f>IF(E8="",0,IF(E8="non",F8*Informations!$B$36,0))</f>
        <v>0</v>
      </c>
      <c r="I8" s="52">
        <f t="shared" si="0"/>
        <v>0</v>
      </c>
      <c r="J8" s="52">
        <f t="shared" si="1"/>
        <v>0</v>
      </c>
      <c r="K8" s="52">
        <f t="shared" si="2"/>
        <v>0</v>
      </c>
      <c r="L8" s="52">
        <f t="shared" si="3"/>
        <v>0</v>
      </c>
      <c r="M8" s="52"/>
      <c r="N8" s="52"/>
    </row>
    <row r="9" spans="1:14" ht="15.75" customHeight="1">
      <c r="A9" s="54"/>
      <c r="B9" s="334"/>
      <c r="C9" s="334"/>
      <c r="D9" s="55"/>
      <c r="E9" s="55"/>
      <c r="F9" s="56"/>
      <c r="G9" s="57">
        <f>IF(E9="",0,IF(E9="non",F9*Informations!$B$35,TabAVS!$B$38))</f>
        <v>0</v>
      </c>
      <c r="H9" s="57">
        <f>IF(E9="",0,IF(E9="non",F9*Informations!$B$36,0))</f>
        <v>0</v>
      </c>
      <c r="I9" s="52">
        <f t="shared" si="0"/>
        <v>0</v>
      </c>
      <c r="J9" s="52">
        <f t="shared" si="1"/>
        <v>0</v>
      </c>
      <c r="K9" s="52">
        <f t="shared" si="2"/>
        <v>0</v>
      </c>
      <c r="L9" s="52">
        <f t="shared" si="3"/>
        <v>0</v>
      </c>
      <c r="M9" s="52"/>
      <c r="N9" s="52"/>
    </row>
    <row r="10" spans="1:14" ht="15.75" customHeight="1">
      <c r="A10" s="54"/>
      <c r="B10" s="334"/>
      <c r="C10" s="334"/>
      <c r="D10" s="55"/>
      <c r="E10" s="55"/>
      <c r="F10" s="56"/>
      <c r="G10" s="57">
        <f>IF(E10="",0,IF(E10="non",F10*Informations!$B$35,TabAVS!$B$38))</f>
        <v>0</v>
      </c>
      <c r="H10" s="57">
        <f>IF(E10="",0,IF(E10="non",F10*Informations!$B$36,0))</f>
        <v>0</v>
      </c>
      <c r="I10" s="52">
        <f t="shared" si="0"/>
        <v>0</v>
      </c>
      <c r="J10" s="52">
        <f t="shared" si="1"/>
        <v>0</v>
      </c>
      <c r="K10" s="52">
        <f t="shared" si="2"/>
        <v>0</v>
      </c>
      <c r="L10" s="52">
        <f t="shared" si="3"/>
        <v>0</v>
      </c>
      <c r="M10" s="52"/>
      <c r="N10" s="52"/>
    </row>
    <row r="11" spans="1:14" ht="15.75" customHeight="1">
      <c r="A11" s="54"/>
      <c r="B11" s="334"/>
      <c r="C11" s="334"/>
      <c r="D11" s="55"/>
      <c r="E11" s="55"/>
      <c r="F11" s="56"/>
      <c r="G11" s="57">
        <f>IF(E11="",0,IF(E11="non",F11*Informations!$B$35,TabAVS!$B$38))</f>
        <v>0</v>
      </c>
      <c r="H11" s="57">
        <f>IF(E11="",0,IF(E11="non",F11*Informations!$B$36,0))</f>
        <v>0</v>
      </c>
      <c r="I11" s="52">
        <f t="shared" si="0"/>
        <v>0</v>
      </c>
      <c r="J11" s="52">
        <f t="shared" si="1"/>
        <v>0</v>
      </c>
      <c r="K11" s="52">
        <f t="shared" si="2"/>
        <v>0</v>
      </c>
      <c r="L11" s="52">
        <f t="shared" si="3"/>
        <v>0</v>
      </c>
      <c r="M11" s="52"/>
      <c r="N11" s="52"/>
    </row>
    <row r="12" spans="1:14" ht="15.75" customHeight="1">
      <c r="A12" s="54"/>
      <c r="B12" s="334"/>
      <c r="C12" s="334"/>
      <c r="D12" s="55"/>
      <c r="E12" s="55"/>
      <c r="F12" s="56"/>
      <c r="G12" s="57">
        <f>IF(E12="",0,IF(E12="non",F12*Informations!$B$35,TabAVS!$B$38))</f>
        <v>0</v>
      </c>
      <c r="H12" s="57">
        <f>IF(E12="",0,IF(E12="non",F12*Informations!$B$36,0))</f>
        <v>0</v>
      </c>
      <c r="I12" s="52">
        <f t="shared" si="0"/>
        <v>0</v>
      </c>
      <c r="J12" s="52">
        <f t="shared" si="1"/>
        <v>0</v>
      </c>
      <c r="K12" s="52">
        <f t="shared" si="2"/>
        <v>0</v>
      </c>
      <c r="L12" s="52">
        <f t="shared" si="3"/>
        <v>0</v>
      </c>
      <c r="M12" s="52"/>
      <c r="N12" s="52"/>
    </row>
    <row r="13" spans="1:14" ht="15.75" customHeight="1">
      <c r="A13" s="337" t="s">
        <v>149</v>
      </c>
      <c r="B13" s="338"/>
      <c r="C13" s="338"/>
      <c r="D13" s="338"/>
      <c r="E13" s="338"/>
      <c r="F13" s="58">
        <f>SUM(F5:F12)</f>
        <v>135600</v>
      </c>
      <c r="G13" s="59">
        <f>SUM(G5:G12)</f>
        <v>18307.25</v>
      </c>
      <c r="H13" s="59">
        <f>SUM(H5:H12)</f>
        <v>12240</v>
      </c>
      <c r="I13" s="52">
        <f>SUM(I5:I12)</f>
        <v>54000</v>
      </c>
      <c r="J13" s="52">
        <f t="shared" ref="J13:L13" si="4">SUM(J5:J12)</f>
        <v>81600</v>
      </c>
      <c r="K13" s="52">
        <f t="shared" si="4"/>
        <v>6067.25</v>
      </c>
      <c r="L13" s="52">
        <f t="shared" si="4"/>
        <v>24480</v>
      </c>
      <c r="M13" s="52"/>
      <c r="N13" s="52"/>
    </row>
    <row r="14" spans="1:14">
      <c r="A14" s="20"/>
      <c r="B14" s="336"/>
      <c r="C14" s="336"/>
      <c r="D14" s="60"/>
      <c r="E14" s="60"/>
      <c r="F14" s="61"/>
      <c r="G14" s="61"/>
      <c r="H14" s="61"/>
      <c r="I14" s="52"/>
      <c r="J14" s="52"/>
      <c r="K14" s="52"/>
      <c r="L14" s="52"/>
      <c r="M14" s="52"/>
      <c r="N14" s="52"/>
    </row>
    <row r="15" spans="1:14">
      <c r="A15" s="20"/>
      <c r="B15" s="336"/>
      <c r="C15" s="336"/>
      <c r="D15" s="60"/>
      <c r="E15" s="60"/>
      <c r="F15" s="61"/>
      <c r="G15" s="61"/>
      <c r="H15" s="61"/>
      <c r="I15" s="52"/>
      <c r="J15" s="52"/>
      <c r="K15" s="52"/>
      <c r="L15" s="52"/>
      <c r="M15" s="52"/>
      <c r="N15" s="52"/>
    </row>
    <row r="16" spans="1:14">
      <c r="A16" s="321" t="s">
        <v>351</v>
      </c>
      <c r="B16" s="321"/>
      <c r="C16" s="321"/>
      <c r="D16" s="62"/>
      <c r="E16" s="62"/>
      <c r="F16" s="62"/>
      <c r="G16" s="62"/>
      <c r="H16" s="52"/>
      <c r="I16" s="52"/>
      <c r="J16" s="52"/>
      <c r="K16" s="52"/>
      <c r="L16" s="52"/>
      <c r="M16" s="52"/>
      <c r="N16" s="52"/>
    </row>
    <row r="17" spans="1:8" ht="15.75" customHeight="1">
      <c r="B17" s="64" t="s">
        <v>22</v>
      </c>
      <c r="C17" s="65" t="s">
        <v>23</v>
      </c>
      <c r="D17" s="69"/>
      <c r="E17" s="69"/>
      <c r="F17" s="69"/>
      <c r="G17" s="69"/>
      <c r="H17" s="21"/>
    </row>
    <row r="18" spans="1:8" ht="15.75" customHeight="1">
      <c r="A18" s="66" t="s">
        <v>24</v>
      </c>
      <c r="B18" s="251" t="s">
        <v>401</v>
      </c>
      <c r="C18" s="251" t="s">
        <v>402</v>
      </c>
      <c r="D18" s="70"/>
      <c r="E18" s="70"/>
      <c r="F18" s="70"/>
      <c r="G18" s="70"/>
      <c r="H18" s="21"/>
    </row>
    <row r="19" spans="1:8" ht="15.75" customHeight="1">
      <c r="A19" s="66" t="s">
        <v>25</v>
      </c>
      <c r="B19" s="251" t="s">
        <v>401</v>
      </c>
      <c r="C19" s="251" t="s">
        <v>402</v>
      </c>
      <c r="D19" s="70"/>
      <c r="E19" s="71"/>
      <c r="F19" s="70"/>
      <c r="G19" s="71"/>
      <c r="H19" s="21"/>
    </row>
    <row r="20" spans="1:8" ht="15.75" customHeight="1">
      <c r="A20" s="66" t="s">
        <v>26</v>
      </c>
      <c r="B20" s="251" t="s">
        <v>401</v>
      </c>
      <c r="C20" s="251" t="s">
        <v>402</v>
      </c>
      <c r="D20" s="70"/>
      <c r="E20" s="71"/>
      <c r="F20" s="70"/>
      <c r="G20" s="71"/>
      <c r="H20" s="21"/>
    </row>
    <row r="21" spans="1:8" ht="15.75" customHeight="1">
      <c r="A21" s="66" t="s">
        <v>27</v>
      </c>
      <c r="B21" s="251" t="s">
        <v>401</v>
      </c>
      <c r="C21" s="251" t="s">
        <v>402</v>
      </c>
      <c r="D21" s="70"/>
      <c r="E21" s="71"/>
      <c r="F21" s="71"/>
      <c r="G21" s="71"/>
      <c r="H21" s="21"/>
    </row>
    <row r="22" spans="1:8" ht="15.75" customHeight="1">
      <c r="A22" s="66" t="s">
        <v>105</v>
      </c>
      <c r="B22" s="251" t="s">
        <v>401</v>
      </c>
      <c r="C22" s="251" t="s">
        <v>402</v>
      </c>
      <c r="D22" s="71"/>
      <c r="E22" s="71"/>
      <c r="F22" s="71"/>
      <c r="G22" s="71"/>
      <c r="H22" s="21"/>
    </row>
    <row r="23" spans="1:8" ht="15.75" customHeight="1">
      <c r="A23" s="66" t="s">
        <v>106</v>
      </c>
      <c r="B23" s="251" t="s">
        <v>403</v>
      </c>
      <c r="C23" s="251" t="s">
        <v>403</v>
      </c>
      <c r="D23" s="71"/>
      <c r="E23" s="71"/>
      <c r="F23" s="71"/>
      <c r="G23" s="71"/>
      <c r="H23" s="21"/>
    </row>
    <row r="24" spans="1:8" ht="15.75" customHeight="1">
      <c r="A24" s="66" t="s">
        <v>107</v>
      </c>
      <c r="B24" s="251" t="s">
        <v>403</v>
      </c>
      <c r="C24" s="251" t="s">
        <v>403</v>
      </c>
      <c r="D24" s="71"/>
      <c r="E24" s="71"/>
      <c r="F24" s="71"/>
      <c r="G24" s="71"/>
      <c r="H24" s="21"/>
    </row>
    <row r="25" spans="1:8">
      <c r="D25" s="19"/>
      <c r="E25" s="19"/>
      <c r="F25" s="19"/>
      <c r="G25" s="19"/>
    </row>
    <row r="26" spans="1:8">
      <c r="D26" s="19"/>
      <c r="E26" s="19"/>
      <c r="F26" s="19"/>
      <c r="G26" s="19"/>
    </row>
    <row r="27" spans="1:8">
      <c r="D27" s="19"/>
      <c r="E27" s="19"/>
      <c r="F27" s="19"/>
      <c r="G27" s="19"/>
    </row>
    <row r="28" spans="1:8">
      <c r="D28" s="19"/>
      <c r="E28" s="19"/>
      <c r="F28" s="19"/>
      <c r="G28" s="19"/>
    </row>
    <row r="29" spans="1:8">
      <c r="B29" s="29"/>
      <c r="D29" s="19"/>
      <c r="E29" s="19"/>
      <c r="F29" s="19"/>
      <c r="G29" s="19"/>
    </row>
    <row r="30" spans="1:8">
      <c r="D30" s="19"/>
      <c r="E30" s="19"/>
      <c r="F30" s="19"/>
      <c r="G30" s="19"/>
    </row>
    <row r="34" spans="9:9">
      <c r="I34" s="63" t="s">
        <v>249</v>
      </c>
    </row>
    <row r="35" spans="9:9">
      <c r="I35" s="63" t="s">
        <v>250</v>
      </c>
    </row>
    <row r="36" spans="9:9">
      <c r="I36" s="63"/>
    </row>
  </sheetData>
  <sheetProtection algorithmName="SHA-512" hashValue="X3d5IU+LxOBka9A8i/4qG56acPg8WG7n/S6qPJfFWTS0/DdESwCZKb1qY3AeOQEyuSXXuASeDogACzxhQCsr1Q==" saltValue="t+ukZoOr2niCQwdfUoE1hg==" spinCount="100000" sheet="1" objects="1" scenarios="1"/>
  <mergeCells count="15">
    <mergeCell ref="A1:H1"/>
    <mergeCell ref="A3:H3"/>
    <mergeCell ref="A16:C16"/>
    <mergeCell ref="B4:C4"/>
    <mergeCell ref="B9:C9"/>
    <mergeCell ref="B5:C5"/>
    <mergeCell ref="B6:C6"/>
    <mergeCell ref="B7:C7"/>
    <mergeCell ref="B8:C8"/>
    <mergeCell ref="B10:C10"/>
    <mergeCell ref="B11:C11"/>
    <mergeCell ref="B12:C12"/>
    <mergeCell ref="B15:C15"/>
    <mergeCell ref="A13:E13"/>
    <mergeCell ref="B14:C14"/>
  </mergeCells>
  <phoneticPr fontId="4" type="noConversion"/>
  <dataValidations count="1">
    <dataValidation type="list" allowBlank="1" showInputMessage="1" showErrorMessage="1" sqref="E5:E12" xr:uid="{00000000-0002-0000-0600-000000000000}">
      <formula1>$I$34:$I$35</formula1>
    </dataValidation>
  </dataValidations>
  <printOptions horizontalCentered="1"/>
  <pageMargins left="0.39370078740157483" right="0.39370078740157483" top="0.39370078740157483" bottom="0.39370078740157483" header="0.51181102362204722" footer="0.39370078740157483"/>
  <pageSetup paperSize="9" scale="95" orientation="landscape" r:id="rId1"/>
  <headerFooter scaleWithDoc="0">
    <oddFooter>&amp;R4</oddFooter>
  </headerFooter>
  <drawing r:id="rId2"/>
  <legacyDrawing r:id="rId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5"/>
    <pageSetUpPr fitToPage="1"/>
  </sheetPr>
  <dimension ref="A1:G30"/>
  <sheetViews>
    <sheetView showZeros="0" workbookViewId="0">
      <selection activeCell="C16" sqref="C16"/>
    </sheetView>
  </sheetViews>
  <sheetFormatPr baseColWidth="10" defaultColWidth="10.88671875" defaultRowHeight="13.8"/>
  <cols>
    <col min="1" max="1" width="36.88671875" style="18" customWidth="1"/>
    <col min="2" max="5" width="29.44140625" style="18" customWidth="1"/>
    <col min="6" max="6" width="9" style="29" customWidth="1"/>
    <col min="7" max="7" width="20.88671875" style="29" bestFit="1" customWidth="1"/>
    <col min="8" max="256" width="9.109375" style="18" customWidth="1"/>
    <col min="257" max="16384" width="10.88671875" style="18"/>
  </cols>
  <sheetData>
    <row r="1" spans="1:7" ht="36" customHeight="1">
      <c r="A1" s="320" t="s">
        <v>257</v>
      </c>
      <c r="B1" s="320"/>
      <c r="C1" s="320"/>
      <c r="D1" s="320"/>
      <c r="E1" s="320"/>
      <c r="F1" s="72"/>
      <c r="G1" s="72"/>
    </row>
    <row r="3" spans="1:7" ht="15" customHeight="1">
      <c r="A3" s="325" t="s">
        <v>150</v>
      </c>
      <c r="B3" s="325"/>
      <c r="C3" s="325"/>
      <c r="D3" s="325"/>
      <c r="E3" s="325"/>
      <c r="F3" s="73"/>
      <c r="G3" s="73"/>
    </row>
    <row r="4" spans="1:7" ht="12.75" customHeight="1">
      <c r="A4" s="79" t="s">
        <v>151</v>
      </c>
      <c r="B4" s="333" t="s">
        <v>115</v>
      </c>
      <c r="C4" s="333"/>
      <c r="D4" s="333" t="s">
        <v>28</v>
      </c>
      <c r="E4" s="333"/>
    </row>
    <row r="5" spans="1:7" ht="30.9" customHeight="1">
      <c r="A5" s="253" t="s">
        <v>404</v>
      </c>
      <c r="B5" s="341" t="s">
        <v>405</v>
      </c>
      <c r="C5" s="342"/>
      <c r="D5" s="341" t="s">
        <v>406</v>
      </c>
      <c r="E5" s="342"/>
    </row>
    <row r="6" spans="1:7" ht="30.9" customHeight="1">
      <c r="A6" s="253" t="s">
        <v>407</v>
      </c>
      <c r="B6" s="341" t="s">
        <v>408</v>
      </c>
      <c r="C6" s="342"/>
      <c r="D6" s="341" t="s">
        <v>409</v>
      </c>
      <c r="E6" s="342"/>
    </row>
    <row r="7" spans="1:7" ht="30.9" customHeight="1">
      <c r="A7" s="253" t="s">
        <v>410</v>
      </c>
      <c r="B7" s="349" t="s">
        <v>411</v>
      </c>
      <c r="C7" s="350"/>
      <c r="D7" s="341" t="s">
        <v>412</v>
      </c>
      <c r="E7" s="342"/>
    </row>
    <row r="8" spans="1:7" ht="30.9" customHeight="1">
      <c r="A8" s="85"/>
      <c r="B8" s="351"/>
      <c r="C8" s="352"/>
      <c r="D8" s="340"/>
      <c r="E8" s="340"/>
    </row>
    <row r="9" spans="1:7" ht="30.9" customHeight="1">
      <c r="A9" s="85"/>
      <c r="B9" s="340"/>
      <c r="C9" s="340"/>
      <c r="D9" s="340"/>
      <c r="E9" s="340"/>
    </row>
    <row r="11" spans="1:7">
      <c r="A11" s="325" t="s">
        <v>29</v>
      </c>
      <c r="B11" s="325"/>
      <c r="C11" s="325"/>
      <c r="D11" s="325"/>
      <c r="E11" s="325"/>
    </row>
    <row r="12" spans="1:7">
      <c r="A12" s="79" t="s">
        <v>151</v>
      </c>
      <c r="B12" s="67" t="s">
        <v>251</v>
      </c>
      <c r="C12" s="67" t="s">
        <v>72</v>
      </c>
      <c r="D12" s="67" t="s">
        <v>252</v>
      </c>
      <c r="E12" s="67" t="s">
        <v>253</v>
      </c>
    </row>
    <row r="13" spans="1:7">
      <c r="A13" s="86" t="str">
        <f>A5</f>
        <v xml:space="preserve">Rédaction </v>
      </c>
      <c r="B13" s="254">
        <v>20</v>
      </c>
      <c r="C13" s="254">
        <v>100</v>
      </c>
      <c r="D13" s="255">
        <v>30</v>
      </c>
      <c r="E13" s="255">
        <v>0</v>
      </c>
    </row>
    <row r="14" spans="1:7">
      <c r="A14" s="86" t="str">
        <f>A6</f>
        <v xml:space="preserve">Représentation </v>
      </c>
      <c r="B14" s="254">
        <v>25</v>
      </c>
      <c r="C14" s="254">
        <v>100</v>
      </c>
      <c r="D14" s="255">
        <v>30</v>
      </c>
      <c r="E14" s="255">
        <v>0</v>
      </c>
    </row>
    <row r="15" spans="1:7">
      <c r="A15" s="86" t="str">
        <f>A7</f>
        <v>Livres</v>
      </c>
      <c r="B15" s="254">
        <v>55</v>
      </c>
      <c r="C15" s="254">
        <v>25</v>
      </c>
      <c r="D15" s="255">
        <v>30</v>
      </c>
      <c r="E15" s="255">
        <v>15</v>
      </c>
    </row>
    <row r="16" spans="1:7">
      <c r="A16" s="86">
        <f>A8</f>
        <v>0</v>
      </c>
      <c r="B16" s="74"/>
      <c r="C16" s="74"/>
      <c r="D16" s="75"/>
      <c r="E16" s="75"/>
    </row>
    <row r="17" spans="1:5">
      <c r="A17" s="86">
        <f>A9</f>
        <v>0</v>
      </c>
      <c r="B17" s="75"/>
      <c r="C17" s="75"/>
      <c r="D17" s="75"/>
      <c r="E17" s="75"/>
    </row>
    <row r="18" spans="1:5">
      <c r="A18" s="360" t="str">
        <f>IF(OR(D18&gt;100,D18&lt;100),"ATTENTION! Le poid total des produits/prestations n'est pas de 100%","")</f>
        <v/>
      </c>
      <c r="B18" s="360"/>
      <c r="C18" s="360"/>
      <c r="D18" s="63">
        <f>SUM(B13:B17)</f>
        <v>100</v>
      </c>
    </row>
    <row r="19" spans="1:5">
      <c r="A19" s="353" t="s">
        <v>68</v>
      </c>
      <c r="B19" s="353"/>
      <c r="C19" s="353"/>
      <c r="D19" s="353"/>
      <c r="E19" s="353"/>
    </row>
    <row r="20" spans="1:5" ht="26.1" customHeight="1">
      <c r="A20" s="354" t="s">
        <v>413</v>
      </c>
      <c r="B20" s="355"/>
      <c r="C20" s="355"/>
      <c r="D20" s="355"/>
      <c r="E20" s="356"/>
    </row>
    <row r="21" spans="1:5" ht="26.1" customHeight="1">
      <c r="A21" s="357"/>
      <c r="B21" s="358"/>
      <c r="C21" s="358"/>
      <c r="D21" s="358"/>
      <c r="E21" s="359"/>
    </row>
    <row r="23" spans="1:5">
      <c r="A23" s="321" t="s">
        <v>12</v>
      </c>
      <c r="B23" s="321"/>
      <c r="C23" s="321"/>
      <c r="D23" s="321"/>
      <c r="E23" s="321"/>
    </row>
    <row r="24" spans="1:5">
      <c r="A24" s="80" t="str">
        <f>A5</f>
        <v xml:space="preserve">Rédaction </v>
      </c>
      <c r="B24" s="80" t="str">
        <f>A6</f>
        <v xml:space="preserve">Représentation </v>
      </c>
      <c r="C24" s="80" t="str">
        <f>A7</f>
        <v>Livres</v>
      </c>
      <c r="D24" s="80">
        <f>A8</f>
        <v>0</v>
      </c>
      <c r="E24" s="81">
        <f>A9</f>
        <v>0</v>
      </c>
    </row>
    <row r="25" spans="1:5">
      <c r="A25" s="339" t="s">
        <v>69</v>
      </c>
      <c r="B25" s="339"/>
      <c r="C25" s="339"/>
      <c r="D25" s="339"/>
      <c r="E25" s="339"/>
    </row>
    <row r="26" spans="1:5" ht="44.25" customHeight="1">
      <c r="A26" s="349" t="s">
        <v>414</v>
      </c>
      <c r="B26" s="361"/>
      <c r="C26" s="256" t="s">
        <v>415</v>
      </c>
      <c r="D26" s="76"/>
      <c r="E26" s="77"/>
    </row>
    <row r="27" spans="1:5">
      <c r="A27" s="339" t="s">
        <v>70</v>
      </c>
      <c r="B27" s="339"/>
      <c r="C27" s="339"/>
      <c r="D27" s="339"/>
      <c r="E27" s="339"/>
    </row>
    <row r="28" spans="1:5" ht="45" customHeight="1">
      <c r="A28" s="78"/>
      <c r="B28" s="76"/>
      <c r="C28" s="76"/>
      <c r="D28" s="76"/>
      <c r="E28" s="76"/>
    </row>
    <row r="29" spans="1:5">
      <c r="A29" s="343" t="s">
        <v>71</v>
      </c>
      <c r="B29" s="344"/>
      <c r="C29" s="344"/>
      <c r="D29" s="344"/>
      <c r="E29" s="345"/>
    </row>
    <row r="30" spans="1:5" ht="45.6" customHeight="1">
      <c r="A30" s="346" t="s">
        <v>416</v>
      </c>
      <c r="B30" s="347"/>
      <c r="C30" s="347"/>
      <c r="D30" s="347"/>
      <c r="E30" s="348"/>
    </row>
  </sheetData>
  <sheetProtection password="C628" sheet="1" objects="1" scenarios="1"/>
  <mergeCells count="24">
    <mergeCell ref="A27:E27"/>
    <mergeCell ref="A29:E29"/>
    <mergeCell ref="A30:E30"/>
    <mergeCell ref="D6:E6"/>
    <mergeCell ref="D7:E7"/>
    <mergeCell ref="D8:E8"/>
    <mergeCell ref="D9:E9"/>
    <mergeCell ref="B6:C6"/>
    <mergeCell ref="B7:C7"/>
    <mergeCell ref="B8:C8"/>
    <mergeCell ref="A11:E11"/>
    <mergeCell ref="A19:E19"/>
    <mergeCell ref="A20:E21"/>
    <mergeCell ref="A23:E23"/>
    <mergeCell ref="A18:C18"/>
    <mergeCell ref="A26:B26"/>
    <mergeCell ref="A1:E1"/>
    <mergeCell ref="D4:E4"/>
    <mergeCell ref="B4:C4"/>
    <mergeCell ref="A25:E25"/>
    <mergeCell ref="B9:C9"/>
    <mergeCell ref="B5:C5"/>
    <mergeCell ref="D5:E5"/>
    <mergeCell ref="A3:E3"/>
  </mergeCells>
  <phoneticPr fontId="4" type="noConversion"/>
  <printOptions horizontalCentered="1"/>
  <pageMargins left="0.39000000000000007" right="0.39000000000000007" top="0.39000000000000007" bottom="0.39000000000000007" header="0.51" footer="0.39000000000000007"/>
  <pageSetup paperSize="9" scale="87" orientation="landscape" r:id="rId1"/>
  <headerFooter scaleWithDoc="0">
    <oddFooter>&amp;R&amp;K433B545</oddFooter>
  </headerFooter>
  <drawing r:id="rId2"/>
  <legacyDrawing r:id="rId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5"/>
    <pageSetUpPr fitToPage="1"/>
  </sheetPr>
  <dimension ref="A1:Q22"/>
  <sheetViews>
    <sheetView showZeros="0" workbookViewId="0">
      <selection activeCell="B21" sqref="B21:K22"/>
    </sheetView>
  </sheetViews>
  <sheetFormatPr baseColWidth="10" defaultColWidth="10.88671875" defaultRowHeight="13.8"/>
  <cols>
    <col min="1" max="1" width="19.109375" style="18" customWidth="1"/>
    <col min="2" max="5" width="12.88671875" style="18" customWidth="1"/>
    <col min="6" max="7" width="12.88671875" style="29" customWidth="1"/>
    <col min="8" max="11" width="12.88671875" style="18" customWidth="1"/>
    <col min="12" max="256" width="9.109375" style="18" customWidth="1"/>
    <col min="257" max="16384" width="10.88671875" style="18"/>
  </cols>
  <sheetData>
    <row r="1" spans="1:17" ht="36" customHeight="1">
      <c r="A1" s="320" t="s">
        <v>258</v>
      </c>
      <c r="B1" s="320"/>
      <c r="C1" s="320"/>
      <c r="D1" s="320"/>
      <c r="E1" s="320"/>
      <c r="F1" s="320"/>
      <c r="G1" s="320"/>
      <c r="H1" s="320"/>
      <c r="I1" s="320"/>
      <c r="J1" s="320"/>
      <c r="K1" s="320"/>
    </row>
    <row r="3" spans="1:17" ht="15" customHeight="1">
      <c r="A3" s="321" t="s">
        <v>255</v>
      </c>
      <c r="B3" s="321"/>
      <c r="C3" s="321"/>
      <c r="D3" s="321"/>
      <c r="E3" s="321"/>
      <c r="F3" s="321"/>
      <c r="G3" s="321"/>
      <c r="H3" s="321"/>
      <c r="I3" s="321"/>
      <c r="J3" s="321"/>
      <c r="K3" s="321"/>
    </row>
    <row r="4" spans="1:17" ht="15.75" customHeight="1">
      <c r="A4" s="79" t="s">
        <v>291</v>
      </c>
      <c r="B4" s="333" t="s">
        <v>306</v>
      </c>
      <c r="C4" s="333"/>
      <c r="D4" s="333"/>
      <c r="E4" s="333"/>
      <c r="F4" s="333"/>
      <c r="G4" s="333"/>
      <c r="H4" s="333"/>
      <c r="I4" s="333"/>
      <c r="J4" s="333"/>
      <c r="K4" s="67" t="s">
        <v>31</v>
      </c>
      <c r="M4" s="82"/>
      <c r="N4" s="82"/>
      <c r="O4" s="82"/>
      <c r="P4" s="82"/>
      <c r="Q4" s="82"/>
    </row>
    <row r="5" spans="1:17" ht="30.6" customHeight="1">
      <c r="A5" s="257" t="s">
        <v>417</v>
      </c>
      <c r="B5" s="372" t="s">
        <v>418</v>
      </c>
      <c r="C5" s="371"/>
      <c r="D5" s="371"/>
      <c r="E5" s="371"/>
      <c r="F5" s="371"/>
      <c r="G5" s="371"/>
      <c r="H5" s="371"/>
      <c r="I5" s="371"/>
      <c r="J5" s="371"/>
      <c r="K5" s="226" t="s">
        <v>33</v>
      </c>
      <c r="L5" s="52"/>
      <c r="M5" s="52"/>
      <c r="N5" s="52"/>
      <c r="O5" s="52"/>
      <c r="P5" s="52"/>
      <c r="Q5" s="52"/>
    </row>
    <row r="6" spans="1:17" ht="30.6" customHeight="1">
      <c r="A6" s="257" t="s">
        <v>419</v>
      </c>
      <c r="B6" s="372" t="s">
        <v>420</v>
      </c>
      <c r="C6" s="371"/>
      <c r="D6" s="371"/>
      <c r="E6" s="371"/>
      <c r="F6" s="371"/>
      <c r="G6" s="371"/>
      <c r="H6" s="371"/>
      <c r="I6" s="371"/>
      <c r="J6" s="371"/>
      <c r="K6" s="226" t="s">
        <v>33</v>
      </c>
      <c r="L6" s="52"/>
      <c r="M6" s="52" t="s">
        <v>33</v>
      </c>
      <c r="N6" s="52"/>
      <c r="O6" s="52"/>
      <c r="P6" s="52" t="s">
        <v>322</v>
      </c>
      <c r="Q6" s="52"/>
    </row>
    <row r="7" spans="1:17" ht="30.6" customHeight="1">
      <c r="A7" s="257" t="s">
        <v>421</v>
      </c>
      <c r="B7" s="371" t="s">
        <v>422</v>
      </c>
      <c r="C7" s="371"/>
      <c r="D7" s="371"/>
      <c r="E7" s="371"/>
      <c r="F7" s="371"/>
      <c r="G7" s="371"/>
      <c r="H7" s="371"/>
      <c r="I7" s="371"/>
      <c r="J7" s="371"/>
      <c r="K7" s="226" t="s">
        <v>34</v>
      </c>
      <c r="L7" s="52"/>
      <c r="M7" s="52" t="s">
        <v>34</v>
      </c>
      <c r="N7" s="52"/>
      <c r="O7" s="52"/>
      <c r="P7" s="52" t="s">
        <v>323</v>
      </c>
      <c r="Q7" s="52"/>
    </row>
    <row r="8" spans="1:17" ht="30.6" customHeight="1">
      <c r="A8" s="257" t="s">
        <v>423</v>
      </c>
      <c r="B8" s="371" t="s">
        <v>424</v>
      </c>
      <c r="C8" s="371"/>
      <c r="D8" s="371"/>
      <c r="E8" s="371"/>
      <c r="F8" s="371"/>
      <c r="G8" s="371"/>
      <c r="H8" s="371"/>
      <c r="I8" s="371"/>
      <c r="J8" s="371"/>
      <c r="K8" s="226" t="s">
        <v>35</v>
      </c>
      <c r="L8" s="52"/>
      <c r="M8" s="52" t="s">
        <v>35</v>
      </c>
      <c r="N8" s="52"/>
      <c r="O8" s="52"/>
      <c r="P8" s="52" t="s">
        <v>35</v>
      </c>
      <c r="Q8" s="52"/>
    </row>
    <row r="9" spans="1:17" ht="30.6" customHeight="1">
      <c r="A9" s="257" t="s">
        <v>425</v>
      </c>
      <c r="B9" s="371" t="s">
        <v>426</v>
      </c>
      <c r="C9" s="371"/>
      <c r="D9" s="371"/>
      <c r="E9" s="371"/>
      <c r="F9" s="371"/>
      <c r="G9" s="371"/>
      <c r="H9" s="371"/>
      <c r="I9" s="371"/>
      <c r="J9" s="371"/>
      <c r="K9" s="226" t="s">
        <v>33</v>
      </c>
      <c r="L9" s="52"/>
      <c r="M9" s="52"/>
      <c r="N9" s="52"/>
      <c r="O9" s="52"/>
      <c r="P9" s="52"/>
      <c r="Q9" s="52"/>
    </row>
    <row r="10" spans="1:17">
      <c r="L10" s="52"/>
      <c r="M10" s="52"/>
      <c r="N10" s="52"/>
      <c r="O10" s="52"/>
      <c r="P10" s="52"/>
      <c r="Q10" s="52"/>
    </row>
    <row r="11" spans="1:17">
      <c r="M11" s="82"/>
      <c r="N11" s="82"/>
      <c r="O11" s="82"/>
      <c r="P11" s="82"/>
      <c r="Q11" s="82"/>
    </row>
    <row r="12" spans="1:17" ht="15" customHeight="1">
      <c r="A12" s="321" t="s">
        <v>30</v>
      </c>
      <c r="B12" s="321"/>
      <c r="C12" s="321"/>
      <c r="D12" s="321"/>
      <c r="E12" s="321"/>
      <c r="F12" s="321"/>
      <c r="G12" s="321"/>
      <c r="H12" s="321"/>
      <c r="I12" s="321"/>
      <c r="J12" s="321"/>
      <c r="K12" s="321"/>
      <c r="M12" s="82"/>
      <c r="N12" s="82"/>
      <c r="O12" s="82"/>
      <c r="P12" s="82"/>
      <c r="Q12" s="82"/>
    </row>
    <row r="13" spans="1:17">
      <c r="B13" s="370" t="str">
        <f>Produits_prestations!A24</f>
        <v xml:space="preserve">Rédaction </v>
      </c>
      <c r="C13" s="333"/>
      <c r="D13" s="370" t="str">
        <f>Produits_prestations!B24</f>
        <v xml:space="preserve">Représentation </v>
      </c>
      <c r="E13" s="333"/>
      <c r="F13" s="370" t="str">
        <f>Produits_prestations!C24</f>
        <v>Livres</v>
      </c>
      <c r="G13" s="333"/>
      <c r="H13" s="370">
        <f>Produits_prestations!D24</f>
        <v>0</v>
      </c>
      <c r="I13" s="333"/>
      <c r="J13" s="370">
        <f>Produits_prestations!E24</f>
        <v>0</v>
      </c>
      <c r="K13" s="333"/>
    </row>
    <row r="14" spans="1:17">
      <c r="B14" s="84" t="s">
        <v>254</v>
      </c>
      <c r="C14" s="84" t="s">
        <v>32</v>
      </c>
      <c r="D14" s="84" t="s">
        <v>254</v>
      </c>
      <c r="E14" s="84" t="s">
        <v>32</v>
      </c>
      <c r="F14" s="84" t="s">
        <v>254</v>
      </c>
      <c r="G14" s="84" t="s">
        <v>32</v>
      </c>
      <c r="H14" s="84" t="s">
        <v>254</v>
      </c>
      <c r="I14" s="84" t="s">
        <v>32</v>
      </c>
      <c r="J14" s="84" t="s">
        <v>254</v>
      </c>
      <c r="K14" s="84" t="s">
        <v>32</v>
      </c>
    </row>
    <row r="15" spans="1:17" ht="40.5" customHeight="1">
      <c r="A15" s="66" t="str">
        <f>A5</f>
        <v>Clients assurance</v>
      </c>
      <c r="B15" s="258" t="s">
        <v>427</v>
      </c>
      <c r="C15" s="256" t="s">
        <v>428</v>
      </c>
      <c r="D15" s="258" t="s">
        <v>35</v>
      </c>
      <c r="E15" s="256" t="s">
        <v>428</v>
      </c>
      <c r="F15" s="258"/>
      <c r="G15" s="258"/>
      <c r="H15" s="83"/>
      <c r="I15" s="77"/>
      <c r="J15" s="83"/>
      <c r="K15" s="83"/>
    </row>
    <row r="16" spans="1:17" ht="40.5" customHeight="1">
      <c r="A16" s="66" t="str">
        <f>A6</f>
        <v>Entreprises</v>
      </c>
      <c r="B16" s="258" t="s">
        <v>35</v>
      </c>
      <c r="C16" s="259" t="s">
        <v>429</v>
      </c>
      <c r="D16" s="258" t="s">
        <v>430</v>
      </c>
      <c r="E16" s="259" t="s">
        <v>429</v>
      </c>
      <c r="F16" s="258" t="s">
        <v>35</v>
      </c>
      <c r="G16" s="259" t="s">
        <v>429</v>
      </c>
      <c r="H16" s="83"/>
      <c r="I16" s="77"/>
      <c r="J16" s="83"/>
      <c r="K16" s="83"/>
    </row>
    <row r="17" spans="1:11" ht="40.5" customHeight="1">
      <c r="A17" s="66" t="str">
        <f>A7</f>
        <v>Particuliers</v>
      </c>
      <c r="B17" s="258" t="s">
        <v>430</v>
      </c>
      <c r="C17" s="258" t="s">
        <v>431</v>
      </c>
      <c r="D17" s="258" t="s">
        <v>430</v>
      </c>
      <c r="E17" s="258" t="s">
        <v>431</v>
      </c>
      <c r="F17" s="258" t="s">
        <v>427</v>
      </c>
      <c r="G17" s="258" t="s">
        <v>431</v>
      </c>
      <c r="H17" s="83"/>
      <c r="I17" s="77"/>
      <c r="J17" s="83"/>
      <c r="K17" s="83"/>
    </row>
    <row r="18" spans="1:11" ht="40.5" customHeight="1">
      <c r="A18" s="66" t="str">
        <f>A8</f>
        <v>Associations</v>
      </c>
      <c r="B18" s="258" t="s">
        <v>430</v>
      </c>
      <c r="C18" s="258" t="s">
        <v>429</v>
      </c>
      <c r="D18" s="258" t="s">
        <v>427</v>
      </c>
      <c r="E18" s="258" t="s">
        <v>429</v>
      </c>
      <c r="F18" s="260"/>
      <c r="G18" s="261"/>
      <c r="H18" s="83"/>
      <c r="I18" s="77"/>
      <c r="J18" s="83"/>
      <c r="K18" s="83"/>
    </row>
    <row r="19" spans="1:11" ht="40.5" customHeight="1">
      <c r="A19" s="66" t="str">
        <f>A9</f>
        <v>Investisseurs</v>
      </c>
      <c r="B19" s="258" t="s">
        <v>35</v>
      </c>
      <c r="C19" s="258" t="s">
        <v>431</v>
      </c>
      <c r="D19" s="258" t="s">
        <v>35</v>
      </c>
      <c r="E19" s="258" t="s">
        <v>431</v>
      </c>
      <c r="F19" s="258" t="s">
        <v>430</v>
      </c>
      <c r="G19" s="258" t="s">
        <v>431</v>
      </c>
      <c r="H19" s="83"/>
      <c r="I19" s="77"/>
      <c r="J19" s="83"/>
      <c r="K19" s="83"/>
    </row>
    <row r="21" spans="1:11">
      <c r="A21" s="368" t="s">
        <v>36</v>
      </c>
      <c r="B21" s="362" t="s">
        <v>432</v>
      </c>
      <c r="C21" s="363"/>
      <c r="D21" s="363"/>
      <c r="E21" s="363"/>
      <c r="F21" s="363"/>
      <c r="G21" s="363"/>
      <c r="H21" s="363"/>
      <c r="I21" s="363"/>
      <c r="J21" s="363"/>
      <c r="K21" s="364"/>
    </row>
    <row r="22" spans="1:11">
      <c r="A22" s="369"/>
      <c r="B22" s="365"/>
      <c r="C22" s="366"/>
      <c r="D22" s="366"/>
      <c r="E22" s="366"/>
      <c r="F22" s="366"/>
      <c r="G22" s="366"/>
      <c r="H22" s="366"/>
      <c r="I22" s="366"/>
      <c r="J22" s="366"/>
      <c r="K22" s="367"/>
    </row>
  </sheetData>
  <sheetProtection password="C628" sheet="1" objects="1" scenarios="1"/>
  <mergeCells count="16">
    <mergeCell ref="B9:J9"/>
    <mergeCell ref="H13:I13"/>
    <mergeCell ref="A12:K12"/>
    <mergeCell ref="A1:K1"/>
    <mergeCell ref="A3:K3"/>
    <mergeCell ref="B4:J4"/>
    <mergeCell ref="B5:J5"/>
    <mergeCell ref="B6:J6"/>
    <mergeCell ref="B7:J7"/>
    <mergeCell ref="B8:J8"/>
    <mergeCell ref="B21:K22"/>
    <mergeCell ref="A21:A22"/>
    <mergeCell ref="J13:K13"/>
    <mergeCell ref="B13:C13"/>
    <mergeCell ref="D13:E13"/>
    <mergeCell ref="F13:G13"/>
  </mergeCells>
  <phoneticPr fontId="4" type="noConversion"/>
  <dataValidations count="2">
    <dataValidation type="list" allowBlank="1" showInputMessage="1" showErrorMessage="1" sqref="K5:K9" xr:uid="{00000000-0002-0000-0800-000000000000}">
      <formula1>$M$5:$M$8</formula1>
    </dataValidation>
    <dataValidation type="list" allowBlank="1" showInputMessage="1" showErrorMessage="1" sqref="B15:B19 D15:D19 F15:F19 H15:H19 J15:J19" xr:uid="{00000000-0002-0000-0800-000001000000}">
      <formula1>$P$6:$P$8</formula1>
    </dataValidation>
  </dataValidations>
  <printOptions horizontalCentered="1"/>
  <pageMargins left="0.39000000000000007" right="0.39000000000000007" top="0.39000000000000007" bottom="0.39000000000000007" header="0.51" footer="0.39000000000000007"/>
  <pageSetup paperSize="9" scale="96" orientation="landscape" r:id="rId1"/>
  <headerFooter scaleWithDoc="0">
    <oddFooter>&amp;R&amp;K433B546</oddFooter>
  </headerFooter>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42</vt:i4>
      </vt:variant>
    </vt:vector>
  </HeadingPairs>
  <TitlesOfParts>
    <vt:vector size="62" baseType="lpstr">
      <vt:lpstr>TabAVS</vt:lpstr>
      <vt:lpstr>Accueil</vt:lpstr>
      <vt:lpstr>Plan</vt:lpstr>
      <vt:lpstr>Business Model</vt:lpstr>
      <vt:lpstr>Informations</vt:lpstr>
      <vt:lpstr>Résumé</vt:lpstr>
      <vt:lpstr>Portrait de l'entreprise</vt:lpstr>
      <vt:lpstr>Produits_prestations</vt:lpstr>
      <vt:lpstr>Cibles_clients</vt:lpstr>
      <vt:lpstr>Marché_Concurrence</vt:lpstr>
      <vt:lpstr>Bilan initial</vt:lpstr>
      <vt:lpstr>Inventaire_Immobilisations</vt:lpstr>
      <vt:lpstr>Plan_investissements</vt:lpstr>
      <vt:lpstr>Compte d'exploitation</vt:lpstr>
      <vt:lpstr>Frais_détails</vt:lpstr>
      <vt:lpstr>Compte d'exploitation période</vt:lpstr>
      <vt:lpstr>Plan_Liquidités</vt:lpstr>
      <vt:lpstr>Bilan final</vt:lpstr>
      <vt:lpstr>Contrôle budgétaire</vt:lpstr>
      <vt:lpstr>Ratios_Analyse</vt:lpstr>
      <vt:lpstr>Annexe1</vt:lpstr>
      <vt:lpstr>Annexe2</vt:lpstr>
      <vt:lpstr>Annexe3</vt:lpstr>
      <vt:lpstr>Assurances</vt:lpstr>
      <vt:lpstr>BilanF</vt:lpstr>
      <vt:lpstr>BilanI</vt:lpstr>
      <vt:lpstr>Cibles</vt:lpstr>
      <vt:lpstr>COVER</vt:lpstr>
      <vt:lpstr>Deplacements</vt:lpstr>
      <vt:lpstr>Exploitant</vt:lpstr>
      <vt:lpstr>Exploitation</vt:lpstr>
      <vt:lpstr>HOME</vt:lpstr>
      <vt:lpstr>Immobbilisations</vt:lpstr>
      <vt:lpstr>Information</vt:lpstr>
      <vt:lpstr>Investissements</vt:lpstr>
      <vt:lpstr>Liquidites</vt:lpstr>
      <vt:lpstr>Marche</vt:lpstr>
      <vt:lpstr>Marketing</vt:lpstr>
      <vt:lpstr>Portrait</vt:lpstr>
      <vt:lpstr>Produits</vt:lpstr>
      <vt:lpstr>Ratios</vt:lpstr>
      <vt:lpstr>Resume</vt:lpstr>
      <vt:lpstr>Vehicules</vt:lpstr>
      <vt:lpstr>Accueil!Zone_d_impression</vt:lpstr>
      <vt:lpstr>'Bilan final'!Zone_d_impression</vt:lpstr>
      <vt:lpstr>'Bilan initial'!Zone_d_impression</vt:lpstr>
      <vt:lpstr>'Business Model'!Zone_d_impression</vt:lpstr>
      <vt:lpstr>Cibles_clients!Zone_d_impression</vt:lpstr>
      <vt:lpstr>'Compte d''exploitation'!Zone_d_impression</vt:lpstr>
      <vt:lpstr>'Compte d''exploitation période'!Zone_d_impression</vt:lpstr>
      <vt:lpstr>'Contrôle budgétaire'!Zone_d_impression</vt:lpstr>
      <vt:lpstr>Frais_détails!Zone_d_impression</vt:lpstr>
      <vt:lpstr>Informations!Zone_d_impression</vt:lpstr>
      <vt:lpstr>Inventaire_Immobilisations!Zone_d_impression</vt:lpstr>
      <vt:lpstr>Marché_Concurrence!Zone_d_impression</vt:lpstr>
      <vt:lpstr>Plan!Zone_d_impression</vt:lpstr>
      <vt:lpstr>Plan_investissements!Zone_d_impression</vt:lpstr>
      <vt:lpstr>Plan_Liquidités!Zone_d_impression</vt:lpstr>
      <vt:lpstr>'Portrait de l''entreprise'!Zone_d_impression</vt:lpstr>
      <vt:lpstr>Produits_prestations!Zone_d_impression</vt:lpstr>
      <vt:lpstr>Ratios_Analyse!Zone_d_impression</vt:lpstr>
      <vt:lpstr>Résumé!Zone_d_impression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 Business Plan 2011</dc:title>
  <dc:creator>Eric Gonthier</dc:creator>
  <dc:description>Mis à jour par Farah le 16 mars 2009</dc:description>
  <cp:lastModifiedBy>Mael Calame</cp:lastModifiedBy>
  <cp:lastPrinted>2022-08-24T10:02:28Z</cp:lastPrinted>
  <dcterms:created xsi:type="dcterms:W3CDTF">1999-02-27T17:43:43Z</dcterms:created>
  <dcterms:modified xsi:type="dcterms:W3CDTF">2022-08-24T10:05:01Z</dcterms:modified>
</cp:coreProperties>
</file>